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TRECHO 07" sheetId="1" r:id="rId1"/>
    <sheet name="Demolição tubo" sheetId="2" r:id="rId2"/>
    <sheet name="Escavação Implantação Demolição" sheetId="3" r:id="rId3"/>
    <sheet name="Caixas" sheetId="4" r:id="rId4"/>
  </sheets>
  <definedNames>
    <definedName name="_xlnm._FilterDatabase" localSheetId="1" hidden="1">'Demolição tubo'!$H$1:$H$13</definedName>
    <definedName name="_xlfn_SUMIFS">NA()</definedName>
    <definedName name="_xlnm.Print_Area" localSheetId="0">'TRECHO 07'!$A$1:$H$136</definedName>
    <definedName name="Excel_BuiltIn__FilterDatabase" localSheetId="0">'TRECHO 07'!$A$5:$H$75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M136" authorId="0">
      <text>
        <r>
          <rPr>
            <b/>
            <sz val="9"/>
            <color indexed="8"/>
            <rFont val="Tahoma"/>
            <family val="2"/>
          </rPr>
          <t xml:space="preserve">Renata Silva:
</t>
        </r>
        <r>
          <rPr>
            <sz val="9"/>
            <color indexed="8"/>
            <rFont val="Tahoma"/>
            <family val="2"/>
          </rPr>
          <t xml:space="preserve">é preciso verificar a localização do bota fora
</t>
        </r>
      </text>
    </comment>
    <comment ref="M151" authorId="0">
      <text>
        <r>
          <rPr>
            <b/>
            <sz val="9"/>
            <color indexed="8"/>
            <rFont val="Tahoma"/>
            <family val="2"/>
          </rPr>
          <t xml:space="preserve">Renata Silva:
</t>
        </r>
        <r>
          <rPr>
            <sz val="9"/>
            <color indexed="8"/>
            <rFont val="Tahoma"/>
            <family val="2"/>
          </rPr>
          <t xml:space="preserve">é preciso verificar a localização do bota fora
</t>
        </r>
      </text>
    </comment>
    <comment ref="M159" authorId="0">
      <text>
        <r>
          <rPr>
            <b/>
            <sz val="9"/>
            <color indexed="8"/>
            <rFont val="Tahoma"/>
            <family val="2"/>
          </rPr>
          <t xml:space="preserve">Renata Silva:
</t>
        </r>
        <r>
          <rPr>
            <sz val="9"/>
            <color indexed="8"/>
            <rFont val="Tahoma"/>
            <family val="2"/>
          </rPr>
          <t xml:space="preserve">é preciso verificar a localização do bota fora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H3" authorId="0">
      <text>
        <r>
          <rPr>
            <b/>
            <sz val="9"/>
            <color indexed="8"/>
            <rFont val="Tahoma"/>
            <family val="2"/>
          </rPr>
          <t xml:space="preserve">Renata Silva:
</t>
        </r>
        <r>
          <rPr>
            <sz val="9"/>
            <color indexed="8"/>
            <rFont val="Tahoma"/>
            <family val="2"/>
          </rPr>
          <t>aumento de 60cm</t>
        </r>
      </text>
    </comment>
    <comment ref="H20" authorId="0">
      <text>
        <r>
          <rPr>
            <b/>
            <sz val="9"/>
            <color indexed="8"/>
            <rFont val="Tahoma"/>
            <family val="2"/>
          </rPr>
          <t xml:space="preserve">Renata Silva:
</t>
        </r>
        <r>
          <rPr>
            <sz val="9"/>
            <color indexed="8"/>
            <rFont val="Tahoma"/>
            <family val="2"/>
          </rPr>
          <t>aumento de 40cm</t>
        </r>
      </text>
    </comment>
    <comment ref="I20" authorId="0">
      <text>
        <r>
          <rPr>
            <b/>
            <sz val="9"/>
            <color indexed="8"/>
            <rFont val="Tahoma"/>
            <family val="2"/>
          </rPr>
          <t xml:space="preserve">Renata Silva:
</t>
        </r>
        <r>
          <rPr>
            <sz val="9"/>
            <color indexed="8"/>
            <rFont val="Tahoma"/>
            <family val="2"/>
          </rPr>
          <t xml:space="preserve">O reaterro já é pago na composição do item
</t>
        </r>
      </text>
    </comment>
  </commentList>
</comments>
</file>

<file path=xl/sharedStrings.xml><?xml version="1.0" encoding="utf-8"?>
<sst xmlns="http://schemas.openxmlformats.org/spreadsheetml/2006/main" count="1459" uniqueCount="334">
  <si>
    <t>CÓDIGO</t>
  </si>
  <si>
    <t>ESPECIFICAÇÃO ADOTADA</t>
  </si>
  <si>
    <t>DMT               KM</t>
  </si>
  <si>
    <t>UN</t>
  </si>
  <si>
    <t>QUANT</t>
  </si>
  <si>
    <t>PREÇO R$</t>
  </si>
  <si>
    <t>UNITÁRIO</t>
  </si>
  <si>
    <t>TOTAL</t>
  </si>
  <si>
    <t>OBRAS DE ARTE CORRENTES E DRENAGEM                                  TRECHO 07</t>
  </si>
  <si>
    <t>Escavação mecânica em material 1ª cat. H =1,50 a 3,00m (Implantação)</t>
  </si>
  <si>
    <t>DNER-ES 280/97</t>
  </si>
  <si>
    <t>m³</t>
  </si>
  <si>
    <t>Reaterro de cavas c/ compactação mecânica (compactador manual)  (Implantação)</t>
  </si>
  <si>
    <t>DNIT 108/2009-ES</t>
  </si>
  <si>
    <t>LOCAL COM DMT ATÉ 3,0 KM (Caminhão basculante) (Material de remanejamento)</t>
  </si>
  <si>
    <t>t</t>
  </si>
  <si>
    <t>Transporte de materiais para DMT acima de 15 KM (Caminhão basculante) (Material para bota fora)</t>
  </si>
  <si>
    <t>Escavação mecânica em material 1ª cat. H =1,50 a 3,00m (Demolição)</t>
  </si>
  <si>
    <t>Reaterro de cavas c/ compactação mecânica (compactador manual) (Demolição)</t>
  </si>
  <si>
    <t>LOCAL COM DMT DE 3,1 A 5,0 KM (Caminhão basculante) (Material de remanejamento)</t>
  </si>
  <si>
    <t>Corpo BSTC (greide) diâmetro 0,80m CA-1 PB inclusive escavação, reaterro e transporte do tubo</t>
  </si>
  <si>
    <t>DNIT 023/2006-ES</t>
  </si>
  <si>
    <t>m</t>
  </si>
  <si>
    <t>Corpo BSTC (grota) diâmetro 0,80 m CA-1 PB exclusive escavação e reaterro, inclusive transporte do tubo</t>
  </si>
  <si>
    <t>Corpo BSTC (greide) diâmetro 1,00 m CA-1 PB inclusive escavação, reaterro e transporte do tubo</t>
  </si>
  <si>
    <t>Corpo BSTC (greide) diâmetro 1,20 m CA-1 PB exclusive escavação e reaterro, inclusive transporte do tubo</t>
  </si>
  <si>
    <t>Corpo BTTC (grota) diâmetro 1,00 m CA-1 PB exclusive escavação e reaterro, inclusive transporte do tubo</t>
  </si>
  <si>
    <t>Data Base : OUTUBRO / 2018</t>
  </si>
  <si>
    <t>RODOVIA: 07</t>
  </si>
  <si>
    <t>PROJETO EXECUTIVO PARA IMPLANTAÇÃO</t>
  </si>
  <si>
    <t>TRECHO: São Paulo / Cabral - Divisa Itapemirim</t>
  </si>
  <si>
    <t>Quadro Demonstrativo do Orçamento</t>
  </si>
  <si>
    <t>PE-Qd-19</t>
  </si>
  <si>
    <t xml:space="preserve">SEGMENTO: </t>
  </si>
  <si>
    <t>Corpo BTTC (grota) diâmetro 1,20 m CA-1 PB exclusive escavação e reaterro, inclusive transporte do tubo</t>
  </si>
  <si>
    <t>Corpo BTTC (grota) diâmetro 1,50 m CA-1 PB exclusive escavação e reaterro, inclusive transporte do tubo</t>
  </si>
  <si>
    <t>Corpo de BSCC 2,00 x 2,00 m projeto DNIT para H &lt; -&gt; 2,50 m</t>
  </si>
  <si>
    <t>Corpo de BDCC 3,00 x 3,00 m projeto DNIT para H &lt; -&gt; 2,50 m</t>
  </si>
  <si>
    <t>Berço de concreto ciclópico para BSTC diâmetro 0,80m</t>
  </si>
  <si>
    <t>Berço de concreto ciclópico para BSTC diâmetro 1,00 m</t>
  </si>
  <si>
    <t>Berço de concreto ciclópico para BSTC diâmetro 1,20 m</t>
  </si>
  <si>
    <t>Berço de concreto ciclópico para BTTC diâmetro 1,00 m</t>
  </si>
  <si>
    <t>Berço de concreto ciclópico para BTTC diâmetro 1,20m</t>
  </si>
  <si>
    <t>Berço de concreto ciclópico para BTTC diâmetro 1,50 m</t>
  </si>
  <si>
    <t>Boca de concreto ciclópico para BSTC diâmetro 0,80m</t>
  </si>
  <si>
    <t>unid.</t>
  </si>
  <si>
    <t>Boca de concreto ciclópico para BSTC diâmetro 1,00 m</t>
  </si>
  <si>
    <t>Boca de concreto ciclópico para BSTC diâmetro 1,20 m</t>
  </si>
  <si>
    <t>Boca de concreto ciclópico para BTTC diâmetro 1,50 m</t>
  </si>
  <si>
    <t>Boca de concreto ciclópico para BTTC diâmetro 1,00 m</t>
  </si>
  <si>
    <t>Boca de concreto ciclópico para BTTC diâmetro 1,20 m</t>
  </si>
  <si>
    <t>Boca de BSCC 2,00 x 2,00 m projeto DNIT</t>
  </si>
  <si>
    <t>Boca de BDCC 3,00 x 3,00 m projeto DNIT</t>
  </si>
  <si>
    <t>COMP 006</t>
  </si>
  <si>
    <t>Caixa Coletora para BSTC  Ø 0,80 H-&gt; 1,60m</t>
  </si>
  <si>
    <t>COMP 007</t>
  </si>
  <si>
    <t>Caixa Coletora para BSTC  Ø 0,80  H-&gt; 2,20m</t>
  </si>
  <si>
    <t>DNIT 026/2006-ES</t>
  </si>
  <si>
    <t>COMP 008</t>
  </si>
  <si>
    <t>Caixa coletora de talvegue - CCT 07</t>
  </si>
  <si>
    <t>COMP 009</t>
  </si>
  <si>
    <t>Caixa coletora de talvegue - CCT 11</t>
  </si>
  <si>
    <t>Dissipador de energia aplicado a saída de bueiro/descida d'agua de aterro (DEB-01)</t>
  </si>
  <si>
    <t>DNIT 022/2006-ES</t>
  </si>
  <si>
    <t>Dissipador de energia aplicado a saída de bueiro/descida d'água de aterro (DEB-03)</t>
  </si>
  <si>
    <t>Dissipador de energia aplicado a saída de bueiro/descida d'água de aterro (DEB-04)</t>
  </si>
  <si>
    <t>Dissipador de energia aplicado a saída de bueiro/descida d'água de aterro (DEB-05)</t>
  </si>
  <si>
    <t>Dissipador de energia aplicado a saída de bueiro/descida d'água de aterro (DEB-10)</t>
  </si>
  <si>
    <t>COMP 010</t>
  </si>
  <si>
    <t>Dissipador de energia aplicado a saída de bueiro/descida d'água de aterro (DEB-11)</t>
  </si>
  <si>
    <t>Dissipador de energia aplicado a saída de bueiro/descida d'água de aterro (DEB-12)</t>
  </si>
  <si>
    <t>Remoção de bueiros existentes</t>
  </si>
  <si>
    <t>DNIT 027/2004-ES</t>
  </si>
  <si>
    <t>Transporte de materiais para DMT acima de 15 KM (Caminhão basculante) encaminhamento dos tubos ao BF</t>
  </si>
  <si>
    <t xml:space="preserve">Entrada para descida d'água EDA-01 </t>
  </si>
  <si>
    <t>DNIT 021/2004-ES</t>
  </si>
  <si>
    <t>Entrada para descida d'água EDA-02</t>
  </si>
  <si>
    <t>Meio fio sarjeta de concreto tipo DP-1 (0,035 m³/m) inclusive caiação</t>
  </si>
  <si>
    <t>COMP 011</t>
  </si>
  <si>
    <t>Meio fio tipo DP-3</t>
  </si>
  <si>
    <t>Meio fio de concreto MFC 05, inclusive caiação</t>
  </si>
  <si>
    <t>Sarjeta de concreto DP-1 (0,081m³/m) calha triangular, inclusive caiação</t>
  </si>
  <si>
    <t>DNIT 018/2006-ES</t>
  </si>
  <si>
    <t>COMP 012</t>
  </si>
  <si>
    <t>Transposição de Sarjeta do tipo TSS-02</t>
  </si>
  <si>
    <t>Saída d'água concreto p/ corte c/ caiação (SDC-01)</t>
  </si>
  <si>
    <t>Dissipador de energia aplicado a saída de sarjeta/valeta (DES-03)</t>
  </si>
  <si>
    <t>COMP 013</t>
  </si>
  <si>
    <t>Dissipador de energia aplicado a saída de sarjeta/valeta (DES-04)</t>
  </si>
  <si>
    <t>Valeta de proteção de corte revestida em concreto VPC-03</t>
  </si>
  <si>
    <t>Valeta de proteção de aterro VPA 02 (revestida em concreto)</t>
  </si>
  <si>
    <t>Descida d'água concreto simples (calha) c/ caiação (DSA-01) canal</t>
  </si>
  <si>
    <t>Descida d'água concreto simples (calha) c/ caiação (DSA-01) dispersor</t>
  </si>
  <si>
    <t>Descida d'água concreto simples (degraus) c/ caiação (DSA-03) apoio</t>
  </si>
  <si>
    <t>Descida d'água concreto simples (degraus) c/ caiação (DSA-03) degrau</t>
  </si>
  <si>
    <t xml:space="preserve"> Descida d'água concreto simples (degraus) c/ caiação (DSA-03) dispersor</t>
  </si>
  <si>
    <t>Dreno profundo D-&gt; 0,20m c/ enchimento de areia, escavação em material 1ª categoria (DPS-01), inclusive transporte da areia e do tubo</t>
  </si>
  <si>
    <t>DNIT 015/2006-ES</t>
  </si>
  <si>
    <t>Boca de saída de dreno profundo BSD-01</t>
  </si>
  <si>
    <t>COMP 014</t>
  </si>
  <si>
    <t>Descida D'Água Tipo  DSC-01 entrada</t>
  </si>
  <si>
    <t>COMP 015</t>
  </si>
  <si>
    <t>Descida D'Água Tipo  DSC-01 canal</t>
  </si>
  <si>
    <t>COMP 016</t>
  </si>
  <si>
    <t>Descida D'Água Tipo  DSC-01 degrau</t>
  </si>
  <si>
    <t>Entrada d`água sob calçada</t>
  </si>
  <si>
    <t>Escavação manual em mat. 1ª cat. H= 0,00 a 1,50 m</t>
  </si>
  <si>
    <t>Forma especial de madeira para meio fio, inclusive fornecimento e transporte das madeiras</t>
  </si>
  <si>
    <t>m²</t>
  </si>
  <si>
    <t>Concreto estrutural fck = 25,0 MPa, inclusive fornecimento e transporte do cimento, areia e pedra britada</t>
  </si>
  <si>
    <t xml:space="preserve">Aço CA-50, fornecimento, dobragem e colocação nas formas (preço médio das bitolas) </t>
  </si>
  <si>
    <t>kg</t>
  </si>
  <si>
    <t>Meio fio de passagem elevada</t>
  </si>
  <si>
    <t>Concreto estrutural fck = 15,0 MPa, tudo incluído</t>
  </si>
  <si>
    <t>Aço CA-50, fornecimento, dobragem e colocação nas formas (preço médio das bitolas)</t>
  </si>
  <si>
    <t>CAP-50/70, fornecimento</t>
  </si>
  <si>
    <t>TR-302-00 (Mat. Asf. Q. DNIT) - CAP 50/70</t>
  </si>
  <si>
    <t>Bonificação de 15,0% sobre Materiais Betuminosos</t>
  </si>
  <si>
    <t>%</t>
  </si>
  <si>
    <t>TOTAL DRENAGEM TRECHO 07</t>
  </si>
  <si>
    <t>Demolição de tubo</t>
  </si>
  <si>
    <t>Localização do bueiro</t>
  </si>
  <si>
    <t>Localização estaca mais próxima (final)</t>
  </si>
  <si>
    <t>Distância (km)</t>
  </si>
  <si>
    <t>Distância fixa até o BF (km)</t>
  </si>
  <si>
    <t>Distancia Total (km)</t>
  </si>
  <si>
    <t>Tubo</t>
  </si>
  <si>
    <t>Cons. do tubo (m³/m)</t>
  </si>
  <si>
    <t>Comp. (m)</t>
  </si>
  <si>
    <t>Volume (m³)</t>
  </si>
  <si>
    <t>Distancia x Volume (Kmxm³)</t>
  </si>
  <si>
    <t>Situação</t>
  </si>
  <si>
    <t>+</t>
  </si>
  <si>
    <t>BSTC Ø 1,00</t>
  </si>
  <si>
    <t>DEMOLIR</t>
  </si>
  <si>
    <t>BSTC Ø 0,40</t>
  </si>
  <si>
    <t>BSTC Ø 0,60</t>
  </si>
  <si>
    <t>BSTC Ø 0,30</t>
  </si>
  <si>
    <t>BSTC Ø 0,80</t>
  </si>
  <si>
    <t>DMT</t>
  </si>
  <si>
    <t>OS: Distância fixa até o bota fora (pavimentada) = 17,6km</t>
  </si>
  <si>
    <t>ESCAVAÇÃO PARA DEMOLIÇÃO DE BUEIROS</t>
  </si>
  <si>
    <t>Metodologia:</t>
  </si>
  <si>
    <t>Conforme catálogo EMOP - CRITÉRIOS DE ORIENTAÇÃO E DETERMINAÇÃO DE QUANTITATIVOS ORÇAMENTÁRIOS E DE MEDIÇÕES - pág 15:</t>
  </si>
  <si>
    <t>→ Para bueiros com até 2,00m de profundidade, a largura do fundo será igual a largura do diâmetro externo da tubulação acrescida de 0,60m;</t>
  </si>
  <si>
    <t>→ Para os bueiros com mais de 2,00 m de profundidade, a largura do fundo será igual a largura do diâmetro externo da tubulação acrescida de 0,60m e 0,10m para cada metro a partir dos 2,00m de profundidade.</t>
  </si>
  <si>
    <t>GRUPO 02 - Grupo de tubos que serão demolidos</t>
  </si>
  <si>
    <t>Q   =</t>
  </si>
  <si>
    <t>Extensão</t>
  </si>
  <si>
    <t>x</t>
  </si>
  <si>
    <t>Largura do Fundo</t>
  </si>
  <si>
    <t>Profundidade</t>
  </si>
  <si>
    <t>8+14,00</t>
  </si>
  <si>
    <t>Q  1 =</t>
  </si>
  <si>
    <t>=</t>
  </si>
  <si>
    <t>Não reaterrar</t>
  </si>
  <si>
    <t>BSTCØ 1,00</t>
  </si>
  <si>
    <t>47+17,00</t>
  </si>
  <si>
    <t>Q  2 =</t>
  </si>
  <si>
    <t>BSTCØ 0,40</t>
  </si>
  <si>
    <t>62+7,00</t>
  </si>
  <si>
    <t>Q  3 =</t>
  </si>
  <si>
    <t>62+8,00</t>
  </si>
  <si>
    <t>Q  4 =</t>
  </si>
  <si>
    <t>BSTCØ 0,60</t>
  </si>
  <si>
    <t>122+7,00</t>
  </si>
  <si>
    <t>Q  5 =</t>
  </si>
  <si>
    <t>BSTCØ 0,30</t>
  </si>
  <si>
    <t>154+5,00</t>
  </si>
  <si>
    <t>Q  6 =</t>
  </si>
  <si>
    <t>BSTCØ 0,80</t>
  </si>
  <si>
    <t>179+19,00</t>
  </si>
  <si>
    <t>Q  7 =</t>
  </si>
  <si>
    <t>220+15,00</t>
  </si>
  <si>
    <t>Q  8 =</t>
  </si>
  <si>
    <t>266+2,00</t>
  </si>
  <si>
    <t>Q  9 =</t>
  </si>
  <si>
    <t>367+13,00</t>
  </si>
  <si>
    <t>Q 10 =</t>
  </si>
  <si>
    <t>367+15,00</t>
  </si>
  <si>
    <t>Q 11 =</t>
  </si>
  <si>
    <t>Volume da vala</t>
  </si>
  <si>
    <t>→ Volume do Tubo de Concreto Existente (A DEMOLIR):</t>
  </si>
  <si>
    <t xml:space="preserve">Área do tubo </t>
  </si>
  <si>
    <t>Volume do tubo de concreto</t>
  </si>
  <si>
    <t>Logo o volume de ESCAVAÇÃO será o volume da VALA menos o volume do TUBO</t>
  </si>
  <si>
    <t xml:space="preserve">Volume da Vala </t>
  </si>
  <si>
    <t>Volume do Tubo</t>
  </si>
  <si>
    <t>-</t>
  </si>
  <si>
    <t xml:space="preserve">Volume de escavação </t>
  </si>
  <si>
    <t>→ Volume de reaterro</t>
  </si>
  <si>
    <t>Considerando que o local destes bueiros demolidos não haverá implantação de novos bueiros no mesmo local, logo o volume de reaterro é o volume da vala</t>
  </si>
  <si>
    <t>Volume de reaterro = Volume da vala (exceto aqueles tubos que a projetista disse não ter reaterro)</t>
  </si>
  <si>
    <t>→ Volume de empréstimo</t>
  </si>
  <si>
    <t>Considerando que não será implantado tubos no local dos tubos removidos, logo o volume de reaterro, será o volume da vala</t>
  </si>
  <si>
    <t>Volume de empréstimo</t>
  </si>
  <si>
    <t>Volume de Reaterro</t>
  </si>
  <si>
    <t>Volume escavado</t>
  </si>
  <si>
    <t xml:space="preserve">→ Transporte do material de empréstimo </t>
  </si>
  <si>
    <t>Volume Escavado</t>
  </si>
  <si>
    <t>X</t>
  </si>
  <si>
    <t>Material encaminhado para as estacas 62+7,00; 367+13,00;367+15,00</t>
  </si>
  <si>
    <t>Parte do material encaminhado para o bota fora</t>
  </si>
  <si>
    <t>Parte do material vindo da estaca 8+14,00</t>
  </si>
  <si>
    <t>Parte do material vindo da estaca 47+17,00</t>
  </si>
  <si>
    <t>Parte do material vindo da estaca 154+5,00</t>
  </si>
  <si>
    <t>Parte do material vindo da estaca  220+15,00</t>
  </si>
  <si>
    <t>Material remanejado:</t>
  </si>
  <si>
    <t>Material encaminhado para bota fora:</t>
  </si>
  <si>
    <r>
      <rPr>
        <sz val="20"/>
        <color indexed="10"/>
        <rFont val="Arial"/>
        <family val="2"/>
      </rPr>
      <t>IMPORTANTE:</t>
    </r>
    <r>
      <rPr>
        <sz val="20"/>
        <rFont val="Arial"/>
        <family val="2"/>
      </rPr>
      <t xml:space="preserve"> No DER só paga escavação e reaterro para bueiros de GROTA. Bueiros de GREIDE já possuem itens pagos em sua composição</t>
    </r>
  </si>
  <si>
    <t>ESCAVAÇÃO PARA IMPLANTAÇÃO DE BUEIROS</t>
  </si>
  <si>
    <t>Bueiros de GROTA apenas</t>
  </si>
  <si>
    <t>GRUPO 01 - Grupo de tubos que serão implantados</t>
  </si>
  <si>
    <t>46+10,00</t>
  </si>
  <si>
    <t>Bueiro Longitudinal</t>
  </si>
  <si>
    <t>48+10,00</t>
  </si>
  <si>
    <t>56+10,00</t>
  </si>
  <si>
    <t>68+0,00</t>
  </si>
  <si>
    <t>112+0,00</t>
  </si>
  <si>
    <t>120+10,00</t>
  </si>
  <si>
    <t>144+0,00</t>
  </si>
  <si>
    <t>BSTC Ø 1,20</t>
  </si>
  <si>
    <t>140+3,00</t>
  </si>
  <si>
    <t>241+10,00</t>
  </si>
  <si>
    <t>Q  10 =</t>
  </si>
  <si>
    <t>266+10,00</t>
  </si>
  <si>
    <t>8+15,00,</t>
  </si>
  <si>
    <t>Q 12 =</t>
  </si>
  <si>
    <t>BTTC Ø 1,00</t>
  </si>
  <si>
    <t>Q 13 =</t>
  </si>
  <si>
    <t>220+10,00</t>
  </si>
  <si>
    <t>Q 14 =</t>
  </si>
  <si>
    <t>BTTC Ø 1,20</t>
  </si>
  <si>
    <t>62+15,00</t>
  </si>
  <si>
    <t>Q 15 =</t>
  </si>
  <si>
    <t>BTTC Ø 1,50</t>
  </si>
  <si>
    <t>122+13,00</t>
  </si>
  <si>
    <t>Q 16 =</t>
  </si>
  <si>
    <t>154+4,00</t>
  </si>
  <si>
    <t>Q 17 =</t>
  </si>
  <si>
    <t>BSCC 2,0 X 2,0</t>
  </si>
  <si>
    <t>180+10,00</t>
  </si>
  <si>
    <t>Q 18 =</t>
  </si>
  <si>
    <t>258+0,00</t>
  </si>
  <si>
    <t>Q 19 =</t>
  </si>
  <si>
    <t>366+18,00</t>
  </si>
  <si>
    <t>Q 20 =</t>
  </si>
  <si>
    <t>BDCC 3,0  X 3,0</t>
  </si>
  <si>
    <t>Q  =</t>
  </si>
  <si>
    <t>LOGO O VOLUME DE ESCAVAÇÃO SERÁ O VOLUME DA VALA</t>
  </si>
  <si>
    <t>→ Volume de escavação:</t>
  </si>
  <si>
    <t xml:space="preserve">Logo o volume de escavação para IMPLANTAÇÃO é o volume da vala </t>
  </si>
  <si>
    <t>→ Volume do Tubo de Concreto (A IMPLANTAR):</t>
  </si>
  <si>
    <t>Área do berço</t>
  </si>
  <si>
    <t>Volume de implantação do tubo de concreto+ berço</t>
  </si>
  <si>
    <t>→ Volume Reaterro: Para o volume de reaterro, foi considerado uma altura diferente da escavação, uma vez que se entende que o volume de reaterro da terraplenagem considerou o volume acima da geratriz superior do tubo, logo em drenagem pagamos o volume de reaterro, considerando a cota de assentamento do berço até  da geratriz superior do tubo. (Volume da vala menos o volume do tubo)</t>
  </si>
  <si>
    <t>Volume da vala para cálculo do reaterro</t>
  </si>
  <si>
    <t>→ E dando sequencia ao cálculo de reaterro, temos que o volume da vala menos o volume do tubo+berço</t>
  </si>
  <si>
    <t>Volume do tubo + berço</t>
  </si>
  <si>
    <t>Volume total de reaterro</t>
  </si>
  <si>
    <t>Logo o transporte será  o volume escavado menos o volume de reaterro</t>
  </si>
  <si>
    <t>Volume da Vala (Volume disponível)</t>
  </si>
  <si>
    <t>Volume de reaterro</t>
  </si>
  <si>
    <t>" Volume para Bota Fora"</t>
  </si>
  <si>
    <t>Porém o volume neste volume de reaterro, já tem-se calculado o volume de escavação real e o volume de ecavação para uma altura de reaterro até a geratriz superior, logo precisamos contabilizar apenas a diferença para transporte ( bota fora ou emprestimo)</t>
  </si>
  <si>
    <t>V Gsup.</t>
  </si>
  <si>
    <t>Vtubo</t>
  </si>
  <si>
    <t>Vreal</t>
  </si>
  <si>
    <t>Empréstimo</t>
  </si>
  <si>
    <t>Bota Fora</t>
  </si>
  <si>
    <t>→ Transporte do material (de empréstimo e/ou bota fora)</t>
  </si>
  <si>
    <t>Material vindo da estaca 62+15,00</t>
  </si>
  <si>
    <t>Material vindo da estaca 180+10,00</t>
  </si>
  <si>
    <t>Material vindo da estaca 258+0,00</t>
  </si>
  <si>
    <t>Material vindo da estaca  366+18,00</t>
  </si>
  <si>
    <t>Q  12 =</t>
  </si>
  <si>
    <t>Material encaminhado para estaca 47+17,00</t>
  </si>
  <si>
    <t>Q  13 =</t>
  </si>
  <si>
    <t>Material vindo da estaca 8+15,00</t>
  </si>
  <si>
    <t>Q  14=</t>
  </si>
  <si>
    <t>Q  15 =</t>
  </si>
  <si>
    <t>Material encaminhado para estaca 68+0,00</t>
  </si>
  <si>
    <t>Material encaminhado para estaca 112+0,00</t>
  </si>
  <si>
    <t>Material encaminhado para estaca 122+13,00</t>
  </si>
  <si>
    <t>Material encaminhado para Bota Fora</t>
  </si>
  <si>
    <t>Q  16=</t>
  </si>
  <si>
    <t>Material encaminhado para estaca 140+3,00</t>
  </si>
  <si>
    <t>Material encaminhado para  estaca 140+3,00</t>
  </si>
  <si>
    <t>Material encaminhado para BF</t>
  </si>
  <si>
    <t>Material encaminhado para estaca 154+4,00</t>
  </si>
  <si>
    <t>Material encaminhado para estaca 241+10,00</t>
  </si>
  <si>
    <t>Material encaminhado para estaca 266+10,00</t>
  </si>
  <si>
    <t>Material encaminhado para estaca 220+10,00</t>
  </si>
  <si>
    <t>Material para bota fora</t>
  </si>
  <si>
    <t>Material de remanejamento:</t>
  </si>
  <si>
    <t>Caixa Coletora Simples</t>
  </si>
  <si>
    <t>Localização</t>
  </si>
  <si>
    <t>Altura da caixa</t>
  </si>
  <si>
    <t>Área da caixa (m²)</t>
  </si>
  <si>
    <t>Volume da caixa (m³)</t>
  </si>
  <si>
    <t>Volume de escavação (m³)</t>
  </si>
  <si>
    <t>Volume de reaterro (m³)</t>
  </si>
  <si>
    <t>Volume para bota fora (m³)</t>
  </si>
  <si>
    <t>Volume em tonelada (t)</t>
  </si>
  <si>
    <t>Distancia variável (km)</t>
  </si>
  <si>
    <t>Distancia fixa (km)</t>
  </si>
  <si>
    <t>DMT TOTAL (km)</t>
  </si>
  <si>
    <t>VxD (TxKm)</t>
  </si>
  <si>
    <t>Estaca</t>
  </si>
  <si>
    <t>Fixa</t>
  </si>
  <si>
    <t>Variável</t>
  </si>
  <si>
    <t>Total</t>
  </si>
  <si>
    <t>74+15,00</t>
  </si>
  <si>
    <t>87+0,00</t>
  </si>
  <si>
    <t>95+0,00</t>
  </si>
  <si>
    <t>145+0,00</t>
  </si>
  <si>
    <t>164+10,00</t>
  </si>
  <si>
    <t>169+5,00</t>
  </si>
  <si>
    <t>200+10,00</t>
  </si>
  <si>
    <t>377+0,00</t>
  </si>
  <si>
    <t>DMT TOTAL</t>
  </si>
  <si>
    <t>Caixa Coletora de Talvegue - CCT</t>
  </si>
  <si>
    <t>TIPO</t>
  </si>
  <si>
    <t>Volume da caixa  (m³)</t>
  </si>
  <si>
    <t>Volume de escavação  (m³)</t>
  </si>
  <si>
    <t>Volume de reaterro  (m³)</t>
  </si>
  <si>
    <t>188+15,00</t>
  </si>
  <si>
    <t>CCT 07</t>
  </si>
  <si>
    <t>205+0,00</t>
  </si>
  <si>
    <t>CCT 11</t>
  </si>
  <si>
    <t>Média das duas caixas</t>
  </si>
  <si>
    <t>DISCRIMINAÇÃO DO SERVIÇO - LOTE II</t>
  </si>
  <si>
    <t>EXTENSÃO: 4,02 Km</t>
  </si>
  <si>
    <t>Est. 193 à 194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</si>
</sst>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#,##0.00&quot; m&quot;"/>
    <numFmt numFmtId="166" formatCode="\(#,##0.00&quot; m&quot;"/>
    <numFmt numFmtId="167" formatCode="#,##0.00&quot; m)&quot;"/>
    <numFmt numFmtId="168" formatCode="#,##0.00&quot; m3&quot;"/>
    <numFmt numFmtId="169" formatCode="#,##0.00&quot; m2&quot;"/>
    <numFmt numFmtId="170" formatCode="&quot;( &quot;#,##0.00&quot; m3&quot;"/>
    <numFmt numFmtId="171" formatCode="0.00&quot; )&quot;"/>
    <numFmt numFmtId="172" formatCode="#,##0.00&quot; t&quot;"/>
    <numFmt numFmtId="173" formatCode="#,##0.00&quot; m3 )&quot;"/>
    <numFmt numFmtId="174" formatCode="#,##0.00&quot; t/m3&quot;"/>
    <numFmt numFmtId="175" formatCode="#,##0.00&quot; km&quot;"/>
    <numFmt numFmtId="176" formatCode="#,##0.00&quot; t x km&quot;"/>
    <numFmt numFmtId="177" formatCode="&quot;(  &quot;#,##0.00&quot; m2&quot;"/>
    <numFmt numFmtId="178" formatCode="#,##0.00&quot; m2  )&quot;"/>
    <numFmt numFmtId="179" formatCode="0.000"/>
    <numFmt numFmtId="180" formatCode="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3" fillId="0" borderId="10" xfId="48" applyFont="1" applyFill="1" applyBorder="1" applyAlignment="1">
      <alignment horizontal="center" vertical="center"/>
      <protection/>
    </xf>
    <xf numFmtId="0" fontId="2" fillId="0" borderId="0" xfId="48" applyFont="1" applyFill="1" applyAlignment="1">
      <alignment horizontal="center" vertical="top"/>
      <protection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3" xfId="48" applyFont="1" applyFill="1" applyBorder="1" applyAlignment="1">
      <alignment vertical="center"/>
      <protection/>
    </xf>
    <xf numFmtId="0" fontId="2" fillId="0" borderId="14" xfId="48" applyFont="1" applyFill="1" applyBorder="1" applyAlignment="1">
      <alignment vertical="center"/>
      <protection/>
    </xf>
    <xf numFmtId="0" fontId="2" fillId="0" borderId="0" xfId="48" applyFont="1" applyFill="1" applyAlignment="1">
      <alignment vertical="top"/>
      <protection/>
    </xf>
    <xf numFmtId="0" fontId="2" fillId="0" borderId="15" xfId="48" applyFont="1" applyFill="1" applyBorder="1" applyAlignment="1">
      <alignment vertical="center"/>
      <protection/>
    </xf>
    <xf numFmtId="0" fontId="2" fillId="0" borderId="16" xfId="48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4" fillId="0" borderId="0" xfId="48" applyFont="1" applyFill="1" applyAlignment="1">
      <alignment horizontal="center" vertical="top"/>
      <protection/>
    </xf>
    <xf numFmtId="0" fontId="4" fillId="0" borderId="0" xfId="48" applyFont="1" applyFill="1" applyAlignment="1">
      <alignment vertical="top"/>
      <protection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2" fillId="0" borderId="21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right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35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35" borderId="22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2" fontId="0" fillId="0" borderId="0" xfId="0" applyNumberFormat="1" applyAlignment="1">
      <alignment/>
    </xf>
    <xf numFmtId="164" fontId="8" fillId="0" borderId="0" xfId="48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Fill="1" applyAlignment="1">
      <alignment horizontal="left" vertical="center"/>
    </xf>
    <xf numFmtId="0" fontId="0" fillId="0" borderId="0" xfId="49" applyFont="1" applyFill="1" applyAlignment="1">
      <alignment horizontal="left" vertical="center"/>
      <protection/>
    </xf>
    <xf numFmtId="0" fontId="0" fillId="0" borderId="0" xfId="49" applyFont="1" applyFill="1" applyAlignment="1">
      <alignment horizontal="center" vertical="center"/>
      <protection/>
    </xf>
    <xf numFmtId="0" fontId="0" fillId="0" borderId="0" xfId="49" applyFont="1" applyFill="1" applyAlignment="1">
      <alignment horizontal="left" vertical="center" wrapText="1"/>
      <protection/>
    </xf>
    <xf numFmtId="164" fontId="8" fillId="0" borderId="0" xfId="48" applyNumberFormat="1" applyFont="1" applyFill="1" applyBorder="1" applyAlignment="1">
      <alignment horizontal="left" vertical="center"/>
      <protection/>
    </xf>
    <xf numFmtId="164" fontId="8" fillId="0" borderId="0" xfId="48" applyNumberFormat="1" applyFont="1" applyFill="1" applyBorder="1" applyAlignment="1">
      <alignment horizontal="center" vertical="center"/>
      <protection/>
    </xf>
    <xf numFmtId="165" fontId="0" fillId="0" borderId="0" xfId="0" applyNumberFormat="1" applyFont="1" applyFill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left" vertical="center" wrapText="1"/>
    </xf>
    <xf numFmtId="164" fontId="9" fillId="0" borderId="0" xfId="48" applyNumberFormat="1" applyFont="1" applyFill="1" applyBorder="1" applyAlignment="1">
      <alignment horizontal="left" vertical="center"/>
      <protection/>
    </xf>
    <xf numFmtId="164" fontId="9" fillId="0" borderId="0" xfId="48" applyNumberFormat="1" applyFont="1" applyFill="1" applyBorder="1" applyAlignment="1">
      <alignment horizontal="center" vertical="center"/>
      <protection/>
    </xf>
    <xf numFmtId="165" fontId="7" fillId="0" borderId="0" xfId="0" applyNumberFormat="1" applyFont="1" applyFill="1" applyAlignment="1">
      <alignment horizontal="left" vertical="center"/>
    </xf>
    <xf numFmtId="164" fontId="0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Alignment="1">
      <alignment horizontal="center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0" fontId="0" fillId="0" borderId="0" xfId="48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164" fontId="10" fillId="0" borderId="0" xfId="48" applyNumberFormat="1" applyFont="1" applyFill="1" applyBorder="1" applyAlignment="1">
      <alignment horizontal="center" vertical="center"/>
      <protection/>
    </xf>
    <xf numFmtId="0" fontId="10" fillId="0" borderId="0" xfId="48" applyFont="1" applyFill="1" applyBorder="1" applyAlignment="1">
      <alignment horizontal="right" vertical="center"/>
      <protection/>
    </xf>
    <xf numFmtId="0" fontId="10" fillId="0" borderId="0" xfId="48" applyFont="1" applyFill="1" applyAlignment="1">
      <alignment horizontal="center" vertical="center"/>
      <protection/>
    </xf>
    <xf numFmtId="165" fontId="10" fillId="0" borderId="0" xfId="48" applyNumberFormat="1" applyFont="1" applyFill="1" applyBorder="1" applyAlignment="1">
      <alignment horizontal="center" vertical="center"/>
      <protection/>
    </xf>
    <xf numFmtId="0" fontId="10" fillId="0" borderId="0" xfId="48" applyFont="1" applyFill="1" applyBorder="1" applyAlignment="1">
      <alignment horizontal="center" vertical="center"/>
      <protection/>
    </xf>
    <xf numFmtId="166" fontId="10" fillId="0" borderId="0" xfId="48" applyNumberFormat="1" applyFont="1" applyFill="1" applyBorder="1" applyAlignment="1">
      <alignment horizontal="center" vertical="center"/>
      <protection/>
    </xf>
    <xf numFmtId="167" fontId="10" fillId="0" borderId="0" xfId="48" applyNumberFormat="1" applyFont="1" applyFill="1" applyBorder="1" applyAlignment="1">
      <alignment horizontal="center" vertical="center"/>
      <protection/>
    </xf>
    <xf numFmtId="168" fontId="10" fillId="0" borderId="0" xfId="48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left" vertical="center"/>
    </xf>
    <xf numFmtId="0" fontId="0" fillId="0" borderId="0" xfId="48" applyFont="1" applyFill="1" applyAlignment="1">
      <alignment horizontal="center" vertical="center" wrapText="1"/>
      <protection/>
    </xf>
    <xf numFmtId="165" fontId="0" fillId="0" borderId="0" xfId="48" applyNumberFormat="1" applyFont="1" applyFill="1" applyBorder="1" applyAlignment="1">
      <alignment horizontal="center" vertical="center"/>
      <protection/>
    </xf>
    <xf numFmtId="168" fontId="0" fillId="0" borderId="0" xfId="48" applyNumberFormat="1" applyFont="1" applyFill="1" applyBorder="1" applyAlignment="1">
      <alignment horizontal="center" vertical="center"/>
      <protection/>
    </xf>
    <xf numFmtId="166" fontId="0" fillId="0" borderId="0" xfId="48" applyNumberFormat="1" applyFont="1" applyFill="1" applyBorder="1" applyAlignment="1">
      <alignment horizontal="center" vertical="center"/>
      <protection/>
    </xf>
    <xf numFmtId="167" fontId="0" fillId="0" borderId="0" xfId="48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Alignment="1">
      <alignment horizontal="left" vertical="center"/>
    </xf>
    <xf numFmtId="0" fontId="0" fillId="0" borderId="0" xfId="48" applyFont="1" applyFill="1" applyBorder="1" applyAlignment="1">
      <alignment horizontal="right" vertical="center"/>
      <protection/>
    </xf>
    <xf numFmtId="0" fontId="10" fillId="0" borderId="0" xfId="48" applyFont="1" applyFill="1" applyBorder="1" applyAlignment="1">
      <alignment horizontal="left" vertical="center"/>
      <protection/>
    </xf>
    <xf numFmtId="165" fontId="7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0" borderId="0" xfId="48" applyFont="1" applyFill="1" applyAlignment="1">
      <alignment horizontal="center" vertical="center" wrapText="1"/>
      <protection/>
    </xf>
    <xf numFmtId="164" fontId="0" fillId="0" borderId="0" xfId="48" applyNumberFormat="1" applyFont="1" applyFill="1" applyBorder="1" applyAlignment="1">
      <alignment horizontal="left" vertical="center"/>
      <protection/>
    </xf>
    <xf numFmtId="168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NumberFormat="1" applyFont="1" applyFill="1" applyAlignment="1">
      <alignment horizontal="right" vertical="center"/>
    </xf>
    <xf numFmtId="170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171" fontId="0" fillId="0" borderId="0" xfId="48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Font="1" applyFill="1" applyAlignment="1">
      <alignment horizontal="center" vertical="center"/>
    </xf>
    <xf numFmtId="175" fontId="10" fillId="0" borderId="0" xfId="48" applyNumberFormat="1" applyFont="1" applyFill="1" applyBorder="1" applyAlignment="1">
      <alignment horizontal="center" vertical="center"/>
      <protection/>
    </xf>
    <xf numFmtId="176" fontId="0" fillId="0" borderId="0" xfId="48" applyNumberFormat="1" applyFont="1" applyFill="1" applyBorder="1" applyAlignment="1">
      <alignment horizontal="center" vertical="center"/>
      <protection/>
    </xf>
    <xf numFmtId="176" fontId="0" fillId="0" borderId="0" xfId="48" applyNumberFormat="1" applyFont="1" applyFill="1" applyBorder="1" applyAlignment="1">
      <alignment vertical="center"/>
      <protection/>
    </xf>
    <xf numFmtId="0" fontId="0" fillId="37" borderId="0" xfId="0" applyFont="1" applyFill="1" applyAlignment="1">
      <alignment/>
    </xf>
    <xf numFmtId="0" fontId="0" fillId="37" borderId="0" xfId="0" applyNumberFormat="1" applyFont="1" applyFill="1" applyAlignment="1">
      <alignment horizontal="left" vertical="center"/>
    </xf>
    <xf numFmtId="0" fontId="10" fillId="37" borderId="0" xfId="48" applyFont="1" applyFill="1" applyAlignment="1">
      <alignment horizontal="center" vertical="center" wrapText="1"/>
      <protection/>
    </xf>
    <xf numFmtId="0" fontId="0" fillId="37" borderId="0" xfId="0" applyNumberFormat="1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/>
    </xf>
    <xf numFmtId="2" fontId="0" fillId="37" borderId="0" xfId="0" applyNumberFormat="1" applyFont="1" applyFill="1" applyAlignment="1">
      <alignment horizontal="center" vertical="center"/>
    </xf>
    <xf numFmtId="170" fontId="0" fillId="37" borderId="0" xfId="0" applyNumberFormat="1" applyFont="1" applyFill="1" applyAlignment="1">
      <alignment horizontal="center" vertical="center" wrapText="1"/>
    </xf>
    <xf numFmtId="168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37" borderId="0" xfId="48" applyFont="1" applyFill="1" applyAlignment="1">
      <alignment horizontal="center" vertical="center" wrapText="1"/>
      <protection/>
    </xf>
    <xf numFmtId="172" fontId="0" fillId="37" borderId="0" xfId="0" applyNumberFormat="1" applyFont="1" applyFill="1" applyAlignment="1">
      <alignment horizontal="center"/>
    </xf>
    <xf numFmtId="0" fontId="0" fillId="38" borderId="0" xfId="0" applyFont="1" applyFill="1" applyAlignment="1">
      <alignment/>
    </xf>
    <xf numFmtId="0" fontId="0" fillId="38" borderId="0" xfId="0" applyNumberFormat="1" applyFont="1" applyFill="1" applyAlignment="1">
      <alignment horizontal="left" vertical="center"/>
    </xf>
    <xf numFmtId="0" fontId="10" fillId="38" borderId="0" xfId="48" applyFont="1" applyFill="1" applyAlignment="1">
      <alignment horizontal="center" vertical="center" wrapText="1"/>
      <protection/>
    </xf>
    <xf numFmtId="2" fontId="0" fillId="38" borderId="0" xfId="0" applyNumberFormat="1" applyFont="1" applyFill="1" applyAlignment="1">
      <alignment horizontal="center" vertical="center"/>
    </xf>
    <xf numFmtId="170" fontId="0" fillId="38" borderId="0" xfId="0" applyNumberFormat="1" applyFont="1" applyFill="1" applyAlignment="1">
      <alignment horizontal="center" vertical="center" wrapText="1"/>
    </xf>
    <xf numFmtId="172" fontId="0" fillId="38" borderId="0" xfId="0" applyNumberFormat="1" applyFont="1" applyFill="1" applyAlignment="1">
      <alignment horizontal="center"/>
    </xf>
    <xf numFmtId="0" fontId="0" fillId="39" borderId="0" xfId="0" applyFont="1" applyFill="1" applyAlignment="1">
      <alignment/>
    </xf>
    <xf numFmtId="0" fontId="0" fillId="39" borderId="0" xfId="0" applyNumberFormat="1" applyFont="1" applyFill="1" applyAlignment="1">
      <alignment horizontal="left" vertical="center"/>
    </xf>
    <xf numFmtId="0" fontId="10" fillId="39" borderId="0" xfId="48" applyFont="1" applyFill="1" applyAlignment="1">
      <alignment horizontal="center" vertical="center" wrapText="1"/>
      <protection/>
    </xf>
    <xf numFmtId="2" fontId="0" fillId="39" borderId="0" xfId="0" applyNumberFormat="1" applyFont="1" applyFill="1" applyAlignment="1">
      <alignment horizontal="center" vertical="center"/>
    </xf>
    <xf numFmtId="170" fontId="0" fillId="39" borderId="0" xfId="0" applyNumberFormat="1" applyFont="1" applyFill="1" applyAlignment="1">
      <alignment horizontal="center" vertical="center" wrapText="1"/>
    </xf>
    <xf numFmtId="172" fontId="0" fillId="39" borderId="0" xfId="0" applyNumberFormat="1" applyFont="1" applyFill="1" applyAlignment="1">
      <alignment horizontal="center"/>
    </xf>
    <xf numFmtId="164" fontId="7" fillId="34" borderId="0" xfId="48" applyNumberFormat="1" applyFont="1" applyFill="1" applyBorder="1" applyAlignment="1">
      <alignment horizontal="left" vertical="center"/>
      <protection/>
    </xf>
    <xf numFmtId="164" fontId="13" fillId="34" borderId="0" xfId="48" applyNumberFormat="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5" fontId="10" fillId="0" borderId="0" xfId="48" applyNumberFormat="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vertical="center" textRotation="255"/>
    </xf>
    <xf numFmtId="168" fontId="7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4" fontId="0" fillId="0" borderId="0" xfId="48" applyNumberFormat="1" applyFont="1" applyFill="1" applyBorder="1" applyAlignment="1">
      <alignment horizontal="center" vertical="center"/>
      <protection/>
    </xf>
    <xf numFmtId="168" fontId="7" fillId="0" borderId="0" xfId="48" applyNumberFormat="1" applyFont="1" applyFill="1" applyBorder="1" applyAlignment="1">
      <alignment horizontal="center" vertical="center"/>
      <protection/>
    </xf>
    <xf numFmtId="165" fontId="0" fillId="0" borderId="0" xfId="0" applyNumberFormat="1" applyFont="1" applyFill="1" applyAlignment="1">
      <alignment horizontal="center" vertical="center" wrapText="1"/>
    </xf>
    <xf numFmtId="0" fontId="14" fillId="0" borderId="0" xfId="48" applyFont="1" applyFill="1" applyBorder="1" applyAlignment="1">
      <alignment horizontal="center" vertical="center"/>
      <protection/>
    </xf>
    <xf numFmtId="0" fontId="15" fillId="0" borderId="0" xfId="48" applyFont="1" applyFill="1" applyBorder="1" applyAlignment="1">
      <alignment horizontal="left" vertical="center"/>
      <protection/>
    </xf>
    <xf numFmtId="165" fontId="16" fillId="0" borderId="0" xfId="0" applyNumberFormat="1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Alignment="1">
      <alignment horizontal="left" vertical="center" wrapText="1"/>
    </xf>
    <xf numFmtId="165" fontId="16" fillId="0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textRotation="255"/>
    </xf>
    <xf numFmtId="173" fontId="0" fillId="0" borderId="0" xfId="48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168" fontId="0" fillId="0" borderId="0" xfId="48" applyNumberFormat="1" applyFont="1" applyFill="1" applyBorder="1" applyAlignment="1">
      <alignment vertical="center"/>
      <protection/>
    </xf>
    <xf numFmtId="0" fontId="17" fillId="0" borderId="0" xfId="0" applyFont="1" applyBorder="1" applyAlignment="1">
      <alignment vertical="center" textRotation="255"/>
    </xf>
    <xf numFmtId="164" fontId="18" fillId="0" borderId="0" xfId="48" applyNumberFormat="1" applyFont="1" applyFill="1" applyBorder="1" applyAlignment="1">
      <alignment horizontal="center" vertical="center"/>
      <protection/>
    </xf>
    <xf numFmtId="168" fontId="14" fillId="0" borderId="0" xfId="48" applyNumberFormat="1" applyFont="1" applyFill="1" applyBorder="1" applyAlignment="1">
      <alignment horizontal="center" vertical="center"/>
      <protection/>
    </xf>
    <xf numFmtId="0" fontId="18" fillId="0" borderId="0" xfId="48" applyFont="1" applyFill="1" applyBorder="1" applyAlignment="1">
      <alignment horizontal="center" vertical="center"/>
      <protection/>
    </xf>
    <xf numFmtId="165" fontId="18" fillId="0" borderId="0" xfId="48" applyNumberFormat="1" applyFont="1" applyFill="1" applyBorder="1" applyAlignment="1">
      <alignment horizontal="center" vertical="center"/>
      <protection/>
    </xf>
    <xf numFmtId="0" fontId="18" fillId="0" borderId="0" xfId="0" applyNumberFormat="1" applyFont="1" applyFill="1" applyAlignment="1">
      <alignment horizontal="center" vertical="center" wrapText="1"/>
    </xf>
    <xf numFmtId="168" fontId="18" fillId="0" borderId="0" xfId="48" applyNumberFormat="1" applyFont="1" applyFill="1" applyBorder="1" applyAlignment="1">
      <alignment horizontal="center" vertical="center"/>
      <protection/>
    </xf>
    <xf numFmtId="4" fontId="18" fillId="0" borderId="0" xfId="48" applyNumberFormat="1" applyFont="1" applyFill="1" applyBorder="1" applyAlignment="1">
      <alignment horizontal="center" vertical="center"/>
      <protection/>
    </xf>
    <xf numFmtId="170" fontId="0" fillId="0" borderId="0" xfId="48" applyNumberFormat="1" applyFont="1" applyFill="1" applyBorder="1" applyAlignment="1">
      <alignment horizontal="center" vertical="center"/>
      <protection/>
    </xf>
    <xf numFmtId="168" fontId="0" fillId="0" borderId="0" xfId="0" applyNumberFormat="1" applyFont="1" applyAlignment="1">
      <alignment/>
    </xf>
    <xf numFmtId="175" fontId="0" fillId="0" borderId="0" xfId="0" applyNumberFormat="1" applyFont="1" applyFill="1" applyAlignment="1">
      <alignment horizontal="center" vertical="center" wrapText="1"/>
    </xf>
    <xf numFmtId="170" fontId="0" fillId="0" borderId="0" xfId="0" applyNumberFormat="1" applyFont="1" applyFill="1" applyAlignment="1">
      <alignment horizontal="left" vertical="center"/>
    </xf>
    <xf numFmtId="172" fontId="0" fillId="0" borderId="0" xfId="0" applyNumberFormat="1" applyFont="1" applyFill="1" applyAlignment="1">
      <alignment/>
    </xf>
    <xf numFmtId="0" fontId="0" fillId="37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vertical="center"/>
    </xf>
    <xf numFmtId="0" fontId="0" fillId="37" borderId="0" xfId="48" applyFont="1" applyFill="1" applyBorder="1" applyAlignment="1">
      <alignment vertical="center"/>
      <protection/>
    </xf>
    <xf numFmtId="175" fontId="0" fillId="37" borderId="0" xfId="0" applyNumberFormat="1" applyFont="1" applyFill="1" applyAlignment="1">
      <alignment horizontal="center"/>
    </xf>
    <xf numFmtId="0" fontId="0" fillId="37" borderId="0" xfId="0" applyFont="1" applyFill="1" applyBorder="1" applyAlignment="1">
      <alignment/>
    </xf>
    <xf numFmtId="0" fontId="0" fillId="39" borderId="0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/>
    </xf>
    <xf numFmtId="175" fontId="0" fillId="39" borderId="0" xfId="0" applyNumberFormat="1" applyFont="1" applyFill="1" applyAlignment="1">
      <alignment horizontal="center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2" fontId="0" fillId="35" borderId="0" xfId="0" applyNumberFormat="1" applyFont="1" applyFill="1" applyAlignment="1">
      <alignment horizontal="center" vertical="center"/>
    </xf>
    <xf numFmtId="175" fontId="0" fillId="35" borderId="0" xfId="0" applyNumberFormat="1" applyFont="1" applyFill="1" applyAlignment="1">
      <alignment horizontal="center"/>
    </xf>
    <xf numFmtId="170" fontId="0" fillId="35" borderId="0" xfId="0" applyNumberFormat="1" applyFont="1" applyFill="1" applyAlignment="1">
      <alignment horizontal="center" vertical="center" wrapText="1"/>
    </xf>
    <xf numFmtId="0" fontId="0" fillId="38" borderId="0" xfId="0" applyFont="1" applyFill="1" applyAlignment="1">
      <alignment horizontal="center"/>
    </xf>
    <xf numFmtId="0" fontId="0" fillId="38" borderId="0" xfId="0" applyFont="1" applyFill="1" applyBorder="1" applyAlignment="1">
      <alignment/>
    </xf>
    <xf numFmtId="175" fontId="0" fillId="38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175" fontId="0" fillId="0" borderId="0" xfId="0" applyNumberFormat="1" applyFont="1" applyFill="1" applyAlignment="1">
      <alignment horizontal="center"/>
    </xf>
    <xf numFmtId="0" fontId="21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0" fontId="21" fillId="0" borderId="10" xfId="0" applyNumberFormat="1" applyFon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9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3" fillId="0" borderId="10" xfId="48" applyFont="1" applyFill="1" applyBorder="1" applyAlignment="1">
      <alignment horizontal="center" vertical="center"/>
      <protection/>
    </xf>
    <xf numFmtId="0" fontId="3" fillId="0" borderId="22" xfId="0" applyFont="1" applyFill="1" applyBorder="1" applyAlignment="1">
      <alignment horizontal="right" vertical="center" wrapText="1"/>
    </xf>
    <xf numFmtId="49" fontId="2" fillId="0" borderId="26" xfId="48" applyNumberFormat="1" applyFont="1" applyFill="1" applyBorder="1" applyAlignment="1">
      <alignment horizontal="left" vertical="top" wrapText="1"/>
      <protection/>
    </xf>
    <xf numFmtId="49" fontId="2" fillId="0" borderId="25" xfId="48" applyNumberFormat="1" applyFont="1" applyFill="1" applyBorder="1" applyAlignment="1">
      <alignment horizontal="left" vertical="top" wrapText="1" indent="3"/>
      <protection/>
    </xf>
    <xf numFmtId="2" fontId="4" fillId="0" borderId="10" xfId="48" applyNumberFormat="1" applyFont="1" applyFill="1" applyBorder="1" applyAlignment="1">
      <alignment horizontal="center" vertical="center"/>
      <protection/>
    </xf>
    <xf numFmtId="4" fontId="4" fillId="0" borderId="25" xfId="48" applyNumberFormat="1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2" fontId="3" fillId="0" borderId="10" xfId="48" applyNumberFormat="1" applyFont="1" applyFill="1" applyBorder="1" applyAlignment="1">
      <alignment horizontal="center" vertical="center" wrapText="1"/>
      <protection/>
    </xf>
    <xf numFmtId="3" fontId="3" fillId="0" borderId="10" xfId="48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2" fontId="0" fillId="35" borderId="0" xfId="0" applyNumberFormat="1" applyFont="1" applyFill="1" applyBorder="1" applyAlignment="1">
      <alignment horizontal="center"/>
    </xf>
    <xf numFmtId="176" fontId="0" fillId="35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68" fontId="0" fillId="0" borderId="0" xfId="48" applyNumberFormat="1" applyFont="1" applyFill="1" applyBorder="1" applyAlignment="1">
      <alignment horizontal="center" vertical="center"/>
      <protection/>
    </xf>
    <xf numFmtId="172" fontId="0" fillId="0" borderId="0" xfId="0" applyNumberFormat="1" applyFont="1" applyFill="1" applyBorder="1" applyAlignment="1">
      <alignment horizontal="center"/>
    </xf>
    <xf numFmtId="172" fontId="0" fillId="39" borderId="0" xfId="0" applyNumberFormat="1" applyFont="1" applyFill="1" applyBorder="1" applyAlignment="1">
      <alignment horizontal="center"/>
    </xf>
    <xf numFmtId="4" fontId="0" fillId="39" borderId="0" xfId="0" applyNumberFormat="1" applyFont="1" applyFill="1" applyBorder="1" applyAlignment="1">
      <alignment horizontal="center"/>
    </xf>
    <xf numFmtId="176" fontId="0" fillId="39" borderId="0" xfId="0" applyNumberFormat="1" applyFont="1" applyFill="1" applyBorder="1" applyAlignment="1">
      <alignment horizontal="center"/>
    </xf>
    <xf numFmtId="4" fontId="0" fillId="37" borderId="0" xfId="0" applyNumberFormat="1" applyFont="1" applyFill="1" applyBorder="1" applyAlignment="1">
      <alignment horizontal="center"/>
    </xf>
    <xf numFmtId="176" fontId="0" fillId="37" borderId="0" xfId="0" applyNumberFormat="1" applyFont="1" applyFill="1" applyBorder="1" applyAlignment="1">
      <alignment horizontal="center"/>
    </xf>
    <xf numFmtId="172" fontId="0" fillId="37" borderId="0" xfId="0" applyNumberFormat="1" applyFont="1" applyFill="1" applyBorder="1" applyAlignment="1">
      <alignment horizontal="center" vertical="center" wrapText="1"/>
    </xf>
    <xf numFmtId="172" fontId="0" fillId="38" borderId="0" xfId="0" applyNumberFormat="1" applyFont="1" applyFill="1" applyBorder="1" applyAlignment="1">
      <alignment horizontal="center"/>
    </xf>
    <xf numFmtId="176" fontId="0" fillId="38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168" fontId="7" fillId="0" borderId="0" xfId="48" applyNumberFormat="1" applyFont="1" applyFill="1" applyBorder="1" applyAlignment="1">
      <alignment horizontal="center" vertical="center"/>
      <protection/>
    </xf>
    <xf numFmtId="164" fontId="7" fillId="0" borderId="0" xfId="48" applyNumberFormat="1" applyFont="1" applyFill="1" applyBorder="1" applyAlignment="1">
      <alignment horizontal="left" vertical="center" wrapText="1"/>
      <protection/>
    </xf>
    <xf numFmtId="165" fontId="7" fillId="0" borderId="0" xfId="0" applyNumberFormat="1" applyFont="1" applyFill="1" applyBorder="1" applyAlignment="1">
      <alignment horizontal="left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165" fontId="0" fillId="0" borderId="0" xfId="48" applyNumberFormat="1" applyFont="1" applyFill="1" applyBorder="1" applyAlignment="1">
      <alignment horizontal="center" vertical="center"/>
      <protection/>
    </xf>
    <xf numFmtId="165" fontId="10" fillId="0" borderId="0" xfId="48" applyNumberFormat="1" applyFont="1" applyFill="1" applyBorder="1" applyAlignment="1">
      <alignment horizontal="center" vertical="center"/>
      <protection/>
    </xf>
    <xf numFmtId="168" fontId="10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177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5" fontId="16" fillId="0" borderId="0" xfId="0" applyNumberFormat="1" applyFont="1" applyFill="1" applyBorder="1" applyAlignment="1">
      <alignment horizontal="left" vertical="center" wrapText="1"/>
    </xf>
    <xf numFmtId="168" fontId="7" fillId="0" borderId="0" xfId="0" applyNumberFormat="1" applyFont="1" applyBorder="1" applyAlignment="1">
      <alignment horizontal="center"/>
    </xf>
    <xf numFmtId="164" fontId="8" fillId="0" borderId="0" xfId="48" applyNumberFormat="1" applyFont="1" applyFill="1" applyBorder="1" applyAlignment="1">
      <alignment horizontal="left" vertical="center"/>
      <protection/>
    </xf>
    <xf numFmtId="165" fontId="0" fillId="0" borderId="0" xfId="0" applyNumberFormat="1" applyFont="1" applyFill="1" applyBorder="1" applyAlignment="1">
      <alignment horizontal="left" vertical="center" wrapText="1"/>
    </xf>
    <xf numFmtId="175" fontId="0" fillId="38" borderId="0" xfId="48" applyNumberFormat="1" applyFont="1" applyFill="1" applyBorder="1" applyAlignment="1">
      <alignment horizontal="center" vertical="center"/>
      <protection/>
    </xf>
    <xf numFmtId="176" fontId="0" fillId="38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175" fontId="0" fillId="0" borderId="0" xfId="48" applyNumberFormat="1" applyFont="1" applyFill="1" applyBorder="1" applyAlignment="1">
      <alignment horizontal="center" vertical="center"/>
      <protection/>
    </xf>
    <xf numFmtId="0" fontId="11" fillId="40" borderId="28" xfId="0" applyFont="1" applyFill="1" applyBorder="1" applyAlignment="1">
      <alignment horizontal="left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/>
    </xf>
    <xf numFmtId="176" fontId="0" fillId="0" borderId="0" xfId="48" applyNumberFormat="1" applyFont="1" applyFill="1" applyBorder="1" applyAlignment="1">
      <alignment horizontal="center" vertical="center"/>
      <protection/>
    </xf>
    <xf numFmtId="175" fontId="0" fillId="37" borderId="0" xfId="48" applyNumberFormat="1" applyFont="1" applyFill="1" applyBorder="1" applyAlignment="1">
      <alignment horizontal="center" vertical="center"/>
      <protection/>
    </xf>
    <xf numFmtId="176" fontId="0" fillId="37" borderId="0" xfId="48" applyNumberFormat="1" applyFont="1" applyFill="1" applyBorder="1" applyAlignment="1">
      <alignment horizontal="center" vertical="center"/>
      <protection/>
    </xf>
    <xf numFmtId="175" fontId="0" fillId="39" borderId="0" xfId="48" applyNumberFormat="1" applyFont="1" applyFill="1" applyBorder="1" applyAlignment="1">
      <alignment horizontal="center" vertical="center"/>
      <protection/>
    </xf>
    <xf numFmtId="176" fontId="0" fillId="39" borderId="0" xfId="48" applyNumberFormat="1" applyFont="1" applyFill="1" applyBorder="1" applyAlignment="1">
      <alignment horizontal="center" vertical="center"/>
      <protection/>
    </xf>
    <xf numFmtId="168" fontId="0" fillId="0" borderId="0" xfId="0" applyNumberFormat="1" applyFont="1" applyFill="1" applyBorder="1" applyAlignment="1">
      <alignment horizontal="center"/>
    </xf>
    <xf numFmtId="175" fontId="10" fillId="0" borderId="0" xfId="48" applyNumberFormat="1" applyFont="1" applyFill="1" applyBorder="1" applyAlignment="1">
      <alignment horizontal="center" vertical="center"/>
      <protection/>
    </xf>
    <xf numFmtId="175" fontId="10" fillId="39" borderId="0" xfId="48" applyNumberFormat="1" applyFont="1" applyFill="1" applyBorder="1" applyAlignment="1">
      <alignment horizontal="center" vertical="center"/>
      <protection/>
    </xf>
    <xf numFmtId="175" fontId="10" fillId="38" borderId="0" xfId="48" applyNumberFormat="1" applyFont="1" applyFill="1" applyBorder="1" applyAlignment="1">
      <alignment horizontal="center" vertical="center"/>
      <protection/>
    </xf>
    <xf numFmtId="172" fontId="0" fillId="37" borderId="0" xfId="0" applyNumberFormat="1" applyFont="1" applyFill="1" applyBorder="1" applyAlignment="1">
      <alignment horizontal="center"/>
    </xf>
    <xf numFmtId="175" fontId="10" fillId="37" borderId="0" xfId="48" applyNumberFormat="1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left" vertical="center" wrapText="1"/>
      <protection/>
    </xf>
    <xf numFmtId="174" fontId="0" fillId="0" borderId="0" xfId="0" applyNumberFormat="1" applyFont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 7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Q136"/>
  <sheetViews>
    <sheetView showGridLines="0" tabSelected="1" view="pageBreakPreview" zoomScaleSheetLayoutView="100" zoomScalePageLayoutView="0" workbookViewId="0" topLeftCell="A1">
      <selection activeCell="F140" sqref="F140"/>
    </sheetView>
  </sheetViews>
  <sheetFormatPr defaultColWidth="11.421875" defaultRowHeight="12.75"/>
  <cols>
    <col min="1" max="1" width="12.7109375" style="1" customWidth="1"/>
    <col min="2" max="2" width="47.00390625" style="2" customWidth="1"/>
    <col min="3" max="3" width="16.140625" style="3" hidden="1" customWidth="1"/>
    <col min="4" max="4" width="8.7109375" style="4" customWidth="1"/>
    <col min="5" max="5" width="6.7109375" style="4" customWidth="1"/>
    <col min="6" max="6" width="10.7109375" style="4" customWidth="1"/>
    <col min="7" max="7" width="12.8515625" style="5" customWidth="1"/>
    <col min="8" max="8" width="14.7109375" style="5" customWidth="1"/>
    <col min="9" max="9" width="14.140625" style="5" customWidth="1"/>
    <col min="10" max="10" width="14.28125" style="5" customWidth="1"/>
    <col min="11" max="16384" width="11.421875" style="5" customWidth="1"/>
  </cols>
  <sheetData>
    <row r="1" spans="1:8" s="7" customFormat="1" ht="19.5" customHeight="1">
      <c r="A1" s="277" t="s">
        <v>0</v>
      </c>
      <c r="B1" s="277" t="s">
        <v>331</v>
      </c>
      <c r="C1" s="277" t="s">
        <v>1</v>
      </c>
      <c r="D1" s="278" t="s">
        <v>2</v>
      </c>
      <c r="E1" s="277" t="s">
        <v>3</v>
      </c>
      <c r="F1" s="279" t="s">
        <v>4</v>
      </c>
      <c r="G1" s="271" t="s">
        <v>5</v>
      </c>
      <c r="H1" s="271"/>
    </row>
    <row r="2" spans="1:8" s="7" customFormat="1" ht="19.5" customHeight="1">
      <c r="A2" s="277"/>
      <c r="B2" s="277"/>
      <c r="C2" s="277"/>
      <c r="D2" s="278"/>
      <c r="E2" s="277"/>
      <c r="F2" s="279"/>
      <c r="G2" s="6" t="s">
        <v>6</v>
      </c>
      <c r="H2" s="6" t="s">
        <v>7</v>
      </c>
    </row>
    <row r="3" spans="1:8" ht="24" customHeight="1">
      <c r="A3" s="8"/>
      <c r="B3" s="9" t="s">
        <v>8</v>
      </c>
      <c r="C3" s="10"/>
      <c r="D3" s="11"/>
      <c r="E3" s="10"/>
      <c r="F3" s="12"/>
      <c r="G3" s="13"/>
      <c r="H3" s="14"/>
    </row>
    <row r="4" spans="1:8" ht="24" customHeight="1">
      <c r="A4" s="15"/>
      <c r="B4" s="16"/>
      <c r="C4" s="17"/>
      <c r="D4" s="18"/>
      <c r="E4" s="17"/>
      <c r="F4" s="19"/>
      <c r="G4" s="19"/>
      <c r="H4" s="19"/>
    </row>
    <row r="5" spans="1:8" ht="24" customHeight="1">
      <c r="A5" s="20">
        <v>40283</v>
      </c>
      <c r="B5" s="21" t="s">
        <v>9</v>
      </c>
      <c r="C5" s="22" t="s">
        <v>10</v>
      </c>
      <c r="D5" s="23"/>
      <c r="E5" s="22" t="s">
        <v>11</v>
      </c>
      <c r="F5" s="24">
        <v>436.98</v>
      </c>
      <c r="G5" s="24">
        <v>13.46</v>
      </c>
      <c r="H5" s="24">
        <f aca="true" t="shared" si="0" ref="H5:H17">TRUNC(F5*G5,2)</f>
        <v>5881.75</v>
      </c>
    </row>
    <row r="6" spans="1:8" ht="24" customHeight="1">
      <c r="A6" s="20">
        <v>40303</v>
      </c>
      <c r="B6" s="21" t="s">
        <v>12</v>
      </c>
      <c r="C6" s="22" t="s">
        <v>13</v>
      </c>
      <c r="D6" s="23"/>
      <c r="E6" s="22" t="s">
        <v>11</v>
      </c>
      <c r="F6" s="24">
        <v>313.79</v>
      </c>
      <c r="G6" s="24">
        <v>43</v>
      </c>
      <c r="H6" s="24">
        <f t="shared" si="0"/>
        <v>13492.97</v>
      </c>
    </row>
    <row r="7" spans="1:8" ht="24" customHeight="1">
      <c r="A7" s="20">
        <v>60019</v>
      </c>
      <c r="B7" s="21" t="s">
        <v>14</v>
      </c>
      <c r="C7" s="22"/>
      <c r="D7" s="23">
        <f>'Escavação Implantação Demolição'!$M$596</f>
        <v>2.162753544094545</v>
      </c>
      <c r="E7" s="22" t="s">
        <v>15</v>
      </c>
      <c r="F7" s="24">
        <v>266.97</v>
      </c>
      <c r="G7" s="24">
        <v>4.49</v>
      </c>
      <c r="H7" s="24">
        <f t="shared" si="0"/>
        <v>1198.69</v>
      </c>
    </row>
    <row r="8" spans="1:8" ht="24" customHeight="1">
      <c r="A8" s="20">
        <v>60024</v>
      </c>
      <c r="B8" s="21" t="s">
        <v>16</v>
      </c>
      <c r="C8" s="22"/>
      <c r="D8" s="23">
        <f>'Escavação Implantação Demolição'!$M$594</f>
        <v>22.63823788279063</v>
      </c>
      <c r="E8" s="22" t="s">
        <v>15</v>
      </c>
      <c r="F8" s="24">
        <v>37.5</v>
      </c>
      <c r="G8" s="24">
        <v>15.12</v>
      </c>
      <c r="H8" s="24">
        <f t="shared" si="0"/>
        <v>567</v>
      </c>
    </row>
    <row r="9" spans="1:8" ht="24" customHeight="1">
      <c r="A9" s="20">
        <v>40283</v>
      </c>
      <c r="B9" s="21" t="s">
        <v>17</v>
      </c>
      <c r="C9" s="22"/>
      <c r="D9" s="23"/>
      <c r="E9" s="22" t="s">
        <v>11</v>
      </c>
      <c r="F9" s="24">
        <v>53.97</v>
      </c>
      <c r="G9" s="24">
        <v>13.46</v>
      </c>
      <c r="H9" s="24">
        <f t="shared" si="0"/>
        <v>726.43</v>
      </c>
    </row>
    <row r="10" spans="1:8" ht="24" customHeight="1">
      <c r="A10" s="20">
        <v>40303</v>
      </c>
      <c r="B10" s="21" t="s">
        <v>18</v>
      </c>
      <c r="C10" s="22"/>
      <c r="D10" s="23"/>
      <c r="E10" s="22" t="s">
        <v>11</v>
      </c>
      <c r="F10" s="24">
        <v>56.8</v>
      </c>
      <c r="G10" s="24">
        <v>43</v>
      </c>
      <c r="H10" s="24">
        <f t="shared" si="0"/>
        <v>2442.4</v>
      </c>
    </row>
    <row r="11" spans="1:8" ht="24" customHeight="1">
      <c r="A11" s="20">
        <v>60020</v>
      </c>
      <c r="B11" s="21" t="s">
        <v>19</v>
      </c>
      <c r="C11" s="22"/>
      <c r="D11" s="23">
        <f>'Escavação Implantação Demolição'!$J$176</f>
        <v>4.542789744780737</v>
      </c>
      <c r="E11" s="22" t="s">
        <v>15</v>
      </c>
      <c r="F11" s="24">
        <v>64.31</v>
      </c>
      <c r="G11" s="24">
        <v>6.78</v>
      </c>
      <c r="H11" s="24">
        <f t="shared" si="0"/>
        <v>436.02</v>
      </c>
    </row>
    <row r="12" spans="1:8" ht="24" customHeight="1">
      <c r="A12" s="20">
        <v>60024</v>
      </c>
      <c r="B12" s="21" t="s">
        <v>16</v>
      </c>
      <c r="C12" s="22"/>
      <c r="D12" s="23">
        <f>'Escavação Implantação Demolição'!$J$178</f>
        <v>20.36597519729425</v>
      </c>
      <c r="E12" s="22" t="s">
        <v>15</v>
      </c>
      <c r="F12" s="24">
        <v>15.56</v>
      </c>
      <c r="G12" s="24">
        <v>14.53</v>
      </c>
      <c r="H12" s="24">
        <f t="shared" si="0"/>
        <v>226.08</v>
      </c>
    </row>
    <row r="13" spans="1:8" ht="24" customHeight="1">
      <c r="A13" s="20">
        <v>40433</v>
      </c>
      <c r="B13" s="21" t="s">
        <v>20</v>
      </c>
      <c r="C13" s="22" t="s">
        <v>21</v>
      </c>
      <c r="D13" s="23"/>
      <c r="E13" s="22" t="s">
        <v>22</v>
      </c>
      <c r="F13" s="24">
        <v>32</v>
      </c>
      <c r="G13" s="24">
        <v>548.81</v>
      </c>
      <c r="H13" s="24">
        <f t="shared" si="0"/>
        <v>17561.92</v>
      </c>
    </row>
    <row r="14" spans="1:8" ht="24" customHeight="1">
      <c r="A14" s="20">
        <v>40449</v>
      </c>
      <c r="B14" s="21" t="s">
        <v>23</v>
      </c>
      <c r="C14" s="22"/>
      <c r="D14" s="23"/>
      <c r="E14" s="22" t="s">
        <v>22</v>
      </c>
      <c r="F14" s="24">
        <v>26</v>
      </c>
      <c r="G14" s="24">
        <v>394.24</v>
      </c>
      <c r="H14" s="24">
        <f t="shared" si="0"/>
        <v>10250.24</v>
      </c>
    </row>
    <row r="15" spans="1:8" ht="24" customHeight="1">
      <c r="A15" s="20">
        <v>40437</v>
      </c>
      <c r="B15" s="21" t="s">
        <v>24</v>
      </c>
      <c r="C15" s="22"/>
      <c r="D15" s="23"/>
      <c r="E15" s="22" t="s">
        <v>22</v>
      </c>
      <c r="F15" s="24">
        <v>14</v>
      </c>
      <c r="G15" s="24">
        <v>767.12</v>
      </c>
      <c r="H15" s="24">
        <f t="shared" si="0"/>
        <v>10739.68</v>
      </c>
    </row>
    <row r="16" spans="1:8" ht="24" customHeight="1">
      <c r="A16" s="20">
        <v>40458</v>
      </c>
      <c r="B16" s="21" t="s">
        <v>25</v>
      </c>
      <c r="C16" s="22"/>
      <c r="D16" s="23"/>
      <c r="E16" s="22" t="s">
        <v>22</v>
      </c>
      <c r="F16" s="24">
        <v>39</v>
      </c>
      <c r="G16" s="24">
        <v>694.59</v>
      </c>
      <c r="H16" s="24">
        <f t="shared" si="0"/>
        <v>27089.01</v>
      </c>
    </row>
    <row r="17" spans="1:8" ht="24" customHeight="1">
      <c r="A17" s="20">
        <v>40499</v>
      </c>
      <c r="B17" s="21" t="s">
        <v>26</v>
      </c>
      <c r="C17" s="22"/>
      <c r="D17" s="23"/>
      <c r="E17" s="22" t="s">
        <v>22</v>
      </c>
      <c r="F17" s="24">
        <v>0</v>
      </c>
      <c r="G17" s="24">
        <v>1390.88</v>
      </c>
      <c r="H17" s="24">
        <f t="shared" si="0"/>
        <v>0</v>
      </c>
    </row>
    <row r="18" spans="1:17" s="27" customFormat="1" ht="11.25" customHeight="1">
      <c r="A18" s="25" t="s">
        <v>27</v>
      </c>
      <c r="B18" s="26"/>
      <c r="C18" s="273"/>
      <c r="D18" s="273"/>
      <c r="E18" s="273"/>
      <c r="F18" s="273"/>
      <c r="G18" s="273"/>
      <c r="H18" s="273"/>
      <c r="I18" s="7"/>
      <c r="J18" s="7"/>
      <c r="K18" s="7"/>
      <c r="L18" s="7"/>
      <c r="M18" s="7"/>
      <c r="N18" s="7"/>
      <c r="O18" s="7"/>
      <c r="P18" s="7"/>
      <c r="Q18" s="7"/>
    </row>
    <row r="19" spans="1:17" s="27" customFormat="1" ht="11.25" customHeight="1">
      <c r="A19" s="28"/>
      <c r="B19" s="29"/>
      <c r="C19" s="274"/>
      <c r="D19" s="274"/>
      <c r="E19" s="274"/>
      <c r="F19" s="274"/>
      <c r="G19" s="274"/>
      <c r="H19" s="274"/>
      <c r="I19" s="7"/>
      <c r="J19" s="7"/>
      <c r="K19" s="7"/>
      <c r="L19" s="7"/>
      <c r="M19" s="7"/>
      <c r="N19" s="7"/>
      <c r="O19" s="7"/>
      <c r="P19" s="7"/>
      <c r="Q19" s="7"/>
    </row>
    <row r="20" spans="1:17" s="33" customFormat="1" ht="12.75" customHeight="1">
      <c r="A20" s="30" t="s">
        <v>28</v>
      </c>
      <c r="B20" s="31"/>
      <c r="C20" s="275" t="s">
        <v>29</v>
      </c>
      <c r="D20" s="275"/>
      <c r="E20" s="275"/>
      <c r="F20" s="275"/>
      <c r="G20" s="275"/>
      <c r="H20" s="275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33" customFormat="1" ht="12.75" customHeight="1">
      <c r="A21" s="34" t="s">
        <v>30</v>
      </c>
      <c r="B21" s="35"/>
      <c r="C21" s="275"/>
      <c r="D21" s="275"/>
      <c r="E21" s="275"/>
      <c r="F21" s="275"/>
      <c r="G21" s="275"/>
      <c r="H21" s="275"/>
      <c r="I21" s="32"/>
      <c r="J21" s="32"/>
      <c r="K21" s="32"/>
      <c r="L21" s="32"/>
      <c r="M21" s="32"/>
      <c r="N21" s="32"/>
      <c r="O21" s="32"/>
      <c r="P21" s="32"/>
      <c r="Q21" s="32"/>
    </row>
    <row r="22" spans="1:17" s="33" customFormat="1" ht="12.75" customHeight="1">
      <c r="A22" s="34" t="s">
        <v>332</v>
      </c>
      <c r="B22" s="35"/>
      <c r="C22" s="275" t="s">
        <v>31</v>
      </c>
      <c r="D22" s="275"/>
      <c r="E22" s="275"/>
      <c r="F22" s="275"/>
      <c r="G22" s="275"/>
      <c r="H22" s="276" t="s">
        <v>32</v>
      </c>
      <c r="I22" s="32"/>
      <c r="J22" s="32"/>
      <c r="K22" s="32"/>
      <c r="L22" s="32"/>
      <c r="M22" s="32"/>
      <c r="N22" s="32"/>
      <c r="O22" s="32"/>
      <c r="P22" s="32"/>
      <c r="Q22" s="32"/>
    </row>
    <row r="23" spans="1:17" s="33" customFormat="1" ht="12.75" customHeight="1">
      <c r="A23" s="36" t="s">
        <v>33</v>
      </c>
      <c r="B23" s="37" t="s">
        <v>333</v>
      </c>
      <c r="C23" s="275"/>
      <c r="D23" s="275"/>
      <c r="E23" s="275"/>
      <c r="F23" s="275"/>
      <c r="G23" s="275"/>
      <c r="H23" s="276"/>
      <c r="I23" s="32"/>
      <c r="J23" s="32"/>
      <c r="K23" s="32"/>
      <c r="L23" s="32"/>
      <c r="M23" s="32"/>
      <c r="N23" s="32"/>
      <c r="O23" s="32"/>
      <c r="P23" s="32"/>
      <c r="Q23" s="32"/>
    </row>
    <row r="24" spans="1:8" s="7" customFormat="1" ht="19.5" customHeight="1">
      <c r="A24" s="277" t="s">
        <v>0</v>
      </c>
      <c r="B24" s="277" t="s">
        <v>331</v>
      </c>
      <c r="C24" s="277" t="s">
        <v>1</v>
      </c>
      <c r="D24" s="278" t="s">
        <v>2</v>
      </c>
      <c r="E24" s="277" t="s">
        <v>3</v>
      </c>
      <c r="F24" s="279" t="s">
        <v>4</v>
      </c>
      <c r="G24" s="271" t="s">
        <v>5</v>
      </c>
      <c r="H24" s="271"/>
    </row>
    <row r="25" spans="1:8" s="7" customFormat="1" ht="19.5" customHeight="1">
      <c r="A25" s="277"/>
      <c r="B25" s="277"/>
      <c r="C25" s="277"/>
      <c r="D25" s="278"/>
      <c r="E25" s="277"/>
      <c r="F25" s="279"/>
      <c r="G25" s="6" t="s">
        <v>6</v>
      </c>
      <c r="H25" s="6" t="s">
        <v>7</v>
      </c>
    </row>
    <row r="26" spans="1:8" ht="24" customHeight="1">
      <c r="A26" s="20">
        <v>40504</v>
      </c>
      <c r="B26" s="21" t="s">
        <v>34</v>
      </c>
      <c r="C26" s="22" t="s">
        <v>21</v>
      </c>
      <c r="D26" s="23"/>
      <c r="E26" s="22" t="s">
        <v>22</v>
      </c>
      <c r="F26" s="24">
        <v>22.1</v>
      </c>
      <c r="G26" s="24">
        <v>1919.82</v>
      </c>
      <c r="H26" s="24">
        <f aca="true" t="shared" si="1" ref="H26:H40">TRUNC(F26*G26,2)</f>
        <v>42428.02</v>
      </c>
    </row>
    <row r="27" spans="1:8" ht="24" customHeight="1">
      <c r="A27" s="20">
        <v>40509</v>
      </c>
      <c r="B27" s="21" t="s">
        <v>35</v>
      </c>
      <c r="C27" s="22"/>
      <c r="D27" s="23"/>
      <c r="E27" s="22" t="s">
        <v>22</v>
      </c>
      <c r="F27" s="24">
        <v>46</v>
      </c>
      <c r="G27" s="24">
        <v>2688.7</v>
      </c>
      <c r="H27" s="24">
        <f t="shared" si="1"/>
        <v>123680.2</v>
      </c>
    </row>
    <row r="28" spans="1:8" ht="24" customHeight="1">
      <c r="A28" s="20">
        <v>40574</v>
      </c>
      <c r="B28" s="21" t="s">
        <v>36</v>
      </c>
      <c r="C28" s="22"/>
      <c r="D28" s="23"/>
      <c r="E28" s="22" t="s">
        <v>22</v>
      </c>
      <c r="F28" s="24">
        <v>16</v>
      </c>
      <c r="G28" s="24">
        <v>3634.64</v>
      </c>
      <c r="H28" s="24">
        <f t="shared" si="1"/>
        <v>58154.24</v>
      </c>
    </row>
    <row r="29" spans="1:8" ht="24" customHeight="1">
      <c r="A29" s="20">
        <v>40591</v>
      </c>
      <c r="B29" s="21" t="s">
        <v>37</v>
      </c>
      <c r="C29" s="22"/>
      <c r="D29" s="23"/>
      <c r="E29" s="22" t="s">
        <v>22</v>
      </c>
      <c r="F29" s="24">
        <v>20</v>
      </c>
      <c r="G29" s="24">
        <v>10779.4</v>
      </c>
      <c r="H29" s="24">
        <f t="shared" si="1"/>
        <v>215588</v>
      </c>
    </row>
    <row r="30" spans="1:8" ht="24" customHeight="1">
      <c r="A30" s="20">
        <v>40515</v>
      </c>
      <c r="B30" s="21" t="s">
        <v>38</v>
      </c>
      <c r="C30" s="22" t="s">
        <v>21</v>
      </c>
      <c r="D30" s="23"/>
      <c r="E30" s="22" t="s">
        <v>22</v>
      </c>
      <c r="F30" s="24">
        <f>SUM(F13:F14)</f>
        <v>58</v>
      </c>
      <c r="G30" s="24">
        <v>237.07</v>
      </c>
      <c r="H30" s="24">
        <f t="shared" si="1"/>
        <v>13750.06</v>
      </c>
    </row>
    <row r="31" spans="1:8" ht="24" customHeight="1">
      <c r="A31" s="20">
        <v>40516</v>
      </c>
      <c r="B31" s="21" t="s">
        <v>39</v>
      </c>
      <c r="C31" s="22"/>
      <c r="D31" s="23"/>
      <c r="E31" s="22" t="s">
        <v>22</v>
      </c>
      <c r="F31" s="24">
        <f>F15</f>
        <v>14</v>
      </c>
      <c r="G31" s="24">
        <v>333.61</v>
      </c>
      <c r="H31" s="24">
        <f t="shared" si="1"/>
        <v>4670.54</v>
      </c>
    </row>
    <row r="32" spans="1:8" ht="24" customHeight="1">
      <c r="A32" s="20">
        <v>40517</v>
      </c>
      <c r="B32" s="21" t="s">
        <v>40</v>
      </c>
      <c r="C32" s="22"/>
      <c r="D32" s="23"/>
      <c r="E32" s="22" t="s">
        <v>22</v>
      </c>
      <c r="F32" s="24">
        <f>F16</f>
        <v>39</v>
      </c>
      <c r="G32" s="24">
        <v>443.5</v>
      </c>
      <c r="H32" s="24">
        <f t="shared" si="1"/>
        <v>17296.5</v>
      </c>
    </row>
    <row r="33" spans="1:8" ht="24" customHeight="1">
      <c r="A33" s="20">
        <v>40526</v>
      </c>
      <c r="B33" s="21" t="s">
        <v>41</v>
      </c>
      <c r="C33" s="22"/>
      <c r="D33" s="23"/>
      <c r="E33" s="22" t="s">
        <v>22</v>
      </c>
      <c r="F33" s="24">
        <f>F17</f>
        <v>0</v>
      </c>
      <c r="G33" s="24">
        <v>824.87</v>
      </c>
      <c r="H33" s="24">
        <f t="shared" si="1"/>
        <v>0</v>
      </c>
    </row>
    <row r="34" spans="1:8" ht="24" customHeight="1">
      <c r="A34" s="20">
        <v>40527</v>
      </c>
      <c r="B34" s="21" t="s">
        <v>42</v>
      </c>
      <c r="C34" s="22" t="s">
        <v>21</v>
      </c>
      <c r="D34" s="23"/>
      <c r="E34" s="22" t="s">
        <v>22</v>
      </c>
      <c r="F34" s="24">
        <f>F26</f>
        <v>22.1</v>
      </c>
      <c r="G34" s="24">
        <v>1119.47</v>
      </c>
      <c r="H34" s="24">
        <f t="shared" si="1"/>
        <v>24740.28</v>
      </c>
    </row>
    <row r="35" spans="1:8" ht="24" customHeight="1">
      <c r="A35" s="20">
        <v>40528</v>
      </c>
      <c r="B35" s="38" t="s">
        <v>43</v>
      </c>
      <c r="C35" s="39"/>
      <c r="D35" s="23"/>
      <c r="E35" s="22" t="s">
        <v>22</v>
      </c>
      <c r="F35" s="24">
        <f>F27</f>
        <v>46</v>
      </c>
      <c r="G35" s="24">
        <v>1625.17</v>
      </c>
      <c r="H35" s="24">
        <f t="shared" si="1"/>
        <v>74757.82</v>
      </c>
    </row>
    <row r="36" spans="1:8" ht="24" customHeight="1">
      <c r="A36" s="20">
        <v>40531</v>
      </c>
      <c r="B36" s="21" t="s">
        <v>44</v>
      </c>
      <c r="C36" s="22" t="s">
        <v>21</v>
      </c>
      <c r="D36" s="23"/>
      <c r="E36" s="22" t="s">
        <v>45</v>
      </c>
      <c r="F36" s="24">
        <v>3</v>
      </c>
      <c r="G36" s="24">
        <v>1956.39</v>
      </c>
      <c r="H36" s="24">
        <f t="shared" si="1"/>
        <v>5869.17</v>
      </c>
    </row>
    <row r="37" spans="1:8" ht="24" customHeight="1">
      <c r="A37" s="20">
        <v>40532</v>
      </c>
      <c r="B37" s="21" t="s">
        <v>46</v>
      </c>
      <c r="C37" s="22"/>
      <c r="D37" s="23"/>
      <c r="E37" s="22" t="s">
        <v>45</v>
      </c>
      <c r="F37" s="24">
        <v>2</v>
      </c>
      <c r="G37" s="24">
        <v>2988.69</v>
      </c>
      <c r="H37" s="24">
        <f t="shared" si="1"/>
        <v>5977.38</v>
      </c>
    </row>
    <row r="38" spans="1:8" ht="24" customHeight="1">
      <c r="A38" s="20">
        <v>40533</v>
      </c>
      <c r="B38" s="21" t="s">
        <v>47</v>
      </c>
      <c r="C38" s="22"/>
      <c r="D38" s="23"/>
      <c r="E38" s="22" t="s">
        <v>45</v>
      </c>
      <c r="F38" s="24">
        <v>4</v>
      </c>
      <c r="G38" s="24">
        <v>4284.06</v>
      </c>
      <c r="H38" s="24">
        <f t="shared" si="1"/>
        <v>17136.24</v>
      </c>
    </row>
    <row r="39" spans="1:8" ht="24" customHeight="1">
      <c r="A39" s="20">
        <v>40544</v>
      </c>
      <c r="B39" s="21" t="s">
        <v>48</v>
      </c>
      <c r="C39" s="22"/>
      <c r="D39" s="23"/>
      <c r="E39" s="22" t="s">
        <v>45</v>
      </c>
      <c r="F39" s="24">
        <v>4</v>
      </c>
      <c r="G39" s="24">
        <v>13227.48</v>
      </c>
      <c r="H39" s="24">
        <f t="shared" si="1"/>
        <v>52909.92</v>
      </c>
    </row>
    <row r="40" spans="1:8" ht="24" customHeight="1">
      <c r="A40" s="20">
        <v>40542</v>
      </c>
      <c r="B40" s="21" t="s">
        <v>49</v>
      </c>
      <c r="C40" s="22"/>
      <c r="D40" s="23"/>
      <c r="E40" s="22" t="s">
        <v>45</v>
      </c>
      <c r="F40" s="24">
        <v>4</v>
      </c>
      <c r="G40" s="24">
        <v>5314.67</v>
      </c>
      <c r="H40" s="24">
        <f t="shared" si="1"/>
        <v>21258.68</v>
      </c>
    </row>
    <row r="41" spans="1:17" s="27" customFormat="1" ht="11.25" customHeight="1">
      <c r="A41" s="25" t="str">
        <f>A18</f>
        <v>Data Base : OUTUBRO / 2018</v>
      </c>
      <c r="B41" s="26"/>
      <c r="C41" s="273"/>
      <c r="D41" s="273"/>
      <c r="E41" s="273"/>
      <c r="F41" s="273"/>
      <c r="G41" s="273"/>
      <c r="H41" s="273"/>
      <c r="I41" s="7"/>
      <c r="J41" s="7"/>
      <c r="K41" s="7"/>
      <c r="L41" s="7"/>
      <c r="M41" s="7"/>
      <c r="N41" s="7"/>
      <c r="O41" s="7"/>
      <c r="P41" s="7"/>
      <c r="Q41" s="7"/>
    </row>
    <row r="42" spans="1:17" s="27" customFormat="1" ht="11.25" customHeight="1">
      <c r="A42" s="28"/>
      <c r="B42" s="29"/>
      <c r="C42" s="274"/>
      <c r="D42" s="274"/>
      <c r="E42" s="274"/>
      <c r="F42" s="274"/>
      <c r="G42" s="274"/>
      <c r="H42" s="274"/>
      <c r="I42" s="7"/>
      <c r="J42" s="7"/>
      <c r="K42" s="7"/>
      <c r="L42" s="7"/>
      <c r="M42" s="7"/>
      <c r="N42" s="7"/>
      <c r="O42" s="7"/>
      <c r="P42" s="7"/>
      <c r="Q42" s="7"/>
    </row>
    <row r="43" spans="1:17" s="33" customFormat="1" ht="12.75" customHeight="1">
      <c r="A43" s="30" t="s">
        <v>28</v>
      </c>
      <c r="B43" s="31"/>
      <c r="C43" s="275" t="s">
        <v>29</v>
      </c>
      <c r="D43" s="275"/>
      <c r="E43" s="275"/>
      <c r="F43" s="275"/>
      <c r="G43" s="275"/>
      <c r="H43" s="275"/>
      <c r="I43" s="32"/>
      <c r="J43" s="32"/>
      <c r="K43" s="32"/>
      <c r="L43" s="32"/>
      <c r="M43" s="32"/>
      <c r="N43" s="32"/>
      <c r="O43" s="32"/>
      <c r="P43" s="32"/>
      <c r="Q43" s="32"/>
    </row>
    <row r="44" spans="1:17" s="33" customFormat="1" ht="15.75" customHeight="1">
      <c r="A44" s="34" t="s">
        <v>30</v>
      </c>
      <c r="B44" s="35"/>
      <c r="C44" s="275"/>
      <c r="D44" s="275"/>
      <c r="E44" s="275"/>
      <c r="F44" s="275"/>
      <c r="G44" s="275"/>
      <c r="H44" s="275"/>
      <c r="I44" s="32"/>
      <c r="J44" s="32"/>
      <c r="K44" s="32"/>
      <c r="L44" s="32"/>
      <c r="M44" s="32"/>
      <c r="N44" s="32"/>
      <c r="O44" s="32"/>
      <c r="P44" s="32"/>
      <c r="Q44" s="32"/>
    </row>
    <row r="45" spans="1:17" s="33" customFormat="1" ht="12.75" customHeight="1">
      <c r="A45" s="34" t="s">
        <v>332</v>
      </c>
      <c r="B45" s="35"/>
      <c r="C45" s="275" t="s">
        <v>31</v>
      </c>
      <c r="D45" s="275"/>
      <c r="E45" s="275"/>
      <c r="F45" s="275"/>
      <c r="G45" s="275"/>
      <c r="H45" s="276" t="s">
        <v>32</v>
      </c>
      <c r="I45" s="32"/>
      <c r="J45" s="32"/>
      <c r="K45" s="32"/>
      <c r="L45" s="32"/>
      <c r="M45" s="32"/>
      <c r="N45" s="32"/>
      <c r="O45" s="32"/>
      <c r="P45" s="32"/>
      <c r="Q45" s="32"/>
    </row>
    <row r="46" spans="1:17" s="33" customFormat="1" ht="12.75" customHeight="1">
      <c r="A46" s="36" t="s">
        <v>33</v>
      </c>
      <c r="B46" s="37" t="s">
        <v>333</v>
      </c>
      <c r="C46" s="275"/>
      <c r="D46" s="275"/>
      <c r="E46" s="275"/>
      <c r="F46" s="275"/>
      <c r="G46" s="275"/>
      <c r="H46" s="276"/>
      <c r="I46" s="32"/>
      <c r="J46" s="32"/>
      <c r="K46" s="32"/>
      <c r="L46" s="32"/>
      <c r="M46" s="32"/>
      <c r="N46" s="32"/>
      <c r="O46" s="32"/>
      <c r="P46" s="32"/>
      <c r="Q46" s="32"/>
    </row>
    <row r="47" spans="1:8" s="7" customFormat="1" ht="19.5" customHeight="1">
      <c r="A47" s="277" t="s">
        <v>0</v>
      </c>
      <c r="B47" s="277" t="s">
        <v>331</v>
      </c>
      <c r="C47" s="277" t="s">
        <v>1</v>
      </c>
      <c r="D47" s="278" t="s">
        <v>2</v>
      </c>
      <c r="E47" s="277" t="s">
        <v>3</v>
      </c>
      <c r="F47" s="279" t="s">
        <v>4</v>
      </c>
      <c r="G47" s="271" t="s">
        <v>5</v>
      </c>
      <c r="H47" s="271"/>
    </row>
    <row r="48" spans="1:8" s="7" customFormat="1" ht="19.5" customHeight="1">
      <c r="A48" s="277"/>
      <c r="B48" s="277"/>
      <c r="C48" s="277"/>
      <c r="D48" s="278"/>
      <c r="E48" s="277"/>
      <c r="F48" s="279"/>
      <c r="G48" s="6" t="s">
        <v>6</v>
      </c>
      <c r="H48" s="6" t="s">
        <v>7</v>
      </c>
    </row>
    <row r="49" spans="1:10" s="45" customFormat="1" ht="24" customHeight="1">
      <c r="A49" s="40">
        <v>40543</v>
      </c>
      <c r="B49" s="41" t="s">
        <v>50</v>
      </c>
      <c r="C49" s="42" t="s">
        <v>21</v>
      </c>
      <c r="D49" s="43"/>
      <c r="E49" s="42" t="s">
        <v>45</v>
      </c>
      <c r="F49" s="44">
        <v>2</v>
      </c>
      <c r="G49" s="44">
        <v>7650.93</v>
      </c>
      <c r="H49" s="44">
        <f aca="true" t="shared" si="2" ref="H49:H63">TRUNC(F49*G49,2)</f>
        <v>15301.86</v>
      </c>
      <c r="J49" s="46"/>
    </row>
    <row r="50" spans="1:8" ht="24" customHeight="1">
      <c r="A50" s="20">
        <v>40614</v>
      </c>
      <c r="B50" s="21" t="s">
        <v>51</v>
      </c>
      <c r="C50" s="22"/>
      <c r="D50" s="23"/>
      <c r="E50" s="22" t="s">
        <v>45</v>
      </c>
      <c r="F50" s="24">
        <v>2</v>
      </c>
      <c r="G50" s="24">
        <v>19457.54</v>
      </c>
      <c r="H50" s="24">
        <f t="shared" si="2"/>
        <v>38915.08</v>
      </c>
    </row>
    <row r="51" spans="1:8" ht="24" customHeight="1">
      <c r="A51" s="20">
        <v>40625</v>
      </c>
      <c r="B51" s="21" t="s">
        <v>52</v>
      </c>
      <c r="C51" s="22"/>
      <c r="D51" s="23"/>
      <c r="E51" s="22" t="s">
        <v>45</v>
      </c>
      <c r="F51" s="24">
        <v>2</v>
      </c>
      <c r="G51" s="24">
        <v>43534.71</v>
      </c>
      <c r="H51" s="24">
        <f t="shared" si="2"/>
        <v>87069.42</v>
      </c>
    </row>
    <row r="52" spans="1:8" ht="24" customHeight="1">
      <c r="A52" s="20" t="s">
        <v>53</v>
      </c>
      <c r="B52" s="21" t="s">
        <v>54</v>
      </c>
      <c r="C52" s="22"/>
      <c r="D52" s="23"/>
      <c r="E52" s="22" t="s">
        <v>45</v>
      </c>
      <c r="F52" s="24">
        <v>2</v>
      </c>
      <c r="G52" s="24">
        <v>2090.73</v>
      </c>
      <c r="H52" s="24">
        <f t="shared" si="2"/>
        <v>4181.46</v>
      </c>
    </row>
    <row r="53" spans="1:8" ht="24" customHeight="1">
      <c r="A53" s="20" t="s">
        <v>55</v>
      </c>
      <c r="B53" s="21" t="s">
        <v>56</v>
      </c>
      <c r="C53" s="22" t="s">
        <v>57</v>
      </c>
      <c r="D53" s="23"/>
      <c r="E53" s="22" t="s">
        <v>45</v>
      </c>
      <c r="F53" s="24">
        <v>1</v>
      </c>
      <c r="G53" s="24">
        <v>2602.1</v>
      </c>
      <c r="H53" s="24">
        <f t="shared" si="2"/>
        <v>2602.1</v>
      </c>
    </row>
    <row r="54" spans="1:10" s="45" customFormat="1" ht="24" customHeight="1">
      <c r="A54" s="20" t="s">
        <v>58</v>
      </c>
      <c r="B54" s="21" t="s">
        <v>59</v>
      </c>
      <c r="C54" s="22"/>
      <c r="D54" s="23"/>
      <c r="E54" s="22" t="s">
        <v>45</v>
      </c>
      <c r="F54" s="24">
        <v>1</v>
      </c>
      <c r="G54" s="24">
        <v>4696.8</v>
      </c>
      <c r="H54" s="24">
        <f t="shared" si="2"/>
        <v>4696.8</v>
      </c>
      <c r="J54" s="46"/>
    </row>
    <row r="55" spans="1:10" s="45" customFormat="1" ht="24" customHeight="1">
      <c r="A55" s="47" t="s">
        <v>60</v>
      </c>
      <c r="B55" s="21" t="s">
        <v>61</v>
      </c>
      <c r="C55" s="22"/>
      <c r="D55" s="23"/>
      <c r="E55" s="22" t="s">
        <v>45</v>
      </c>
      <c r="F55" s="24">
        <v>1</v>
      </c>
      <c r="G55" s="24">
        <v>5569.69</v>
      </c>
      <c r="H55" s="24">
        <f t="shared" si="2"/>
        <v>5569.69</v>
      </c>
      <c r="J55" s="46"/>
    </row>
    <row r="56" spans="1:10" s="45" customFormat="1" ht="24" customHeight="1">
      <c r="A56" s="20">
        <v>40732</v>
      </c>
      <c r="B56" s="21" t="s">
        <v>62</v>
      </c>
      <c r="C56" s="22" t="s">
        <v>63</v>
      </c>
      <c r="D56" s="23"/>
      <c r="E56" s="22" t="s">
        <v>45</v>
      </c>
      <c r="F56" s="48">
        <v>39</v>
      </c>
      <c r="G56" s="24">
        <v>628.43</v>
      </c>
      <c r="H56" s="24">
        <f t="shared" si="2"/>
        <v>24508.77</v>
      </c>
      <c r="J56" s="46"/>
    </row>
    <row r="57" spans="1:10" s="45" customFormat="1" ht="24" customHeight="1">
      <c r="A57" s="20">
        <v>40734</v>
      </c>
      <c r="B57" s="21" t="s">
        <v>64</v>
      </c>
      <c r="C57" s="22"/>
      <c r="D57" s="23"/>
      <c r="E57" s="22" t="s">
        <v>45</v>
      </c>
      <c r="F57" s="48">
        <v>5</v>
      </c>
      <c r="G57" s="24">
        <v>2410.07</v>
      </c>
      <c r="H57" s="24">
        <f t="shared" si="2"/>
        <v>12050.35</v>
      </c>
      <c r="J57" s="46"/>
    </row>
    <row r="58" spans="1:10" s="45" customFormat="1" ht="24" customHeight="1">
      <c r="A58" s="20">
        <v>40735</v>
      </c>
      <c r="B58" s="21" t="s">
        <v>65</v>
      </c>
      <c r="C58" s="22"/>
      <c r="D58" s="23"/>
      <c r="E58" s="22" t="s">
        <v>45</v>
      </c>
      <c r="F58" s="24">
        <v>2</v>
      </c>
      <c r="G58" s="24">
        <v>3478.94</v>
      </c>
      <c r="H58" s="24">
        <f t="shared" si="2"/>
        <v>6957.88</v>
      </c>
      <c r="J58" s="46"/>
    </row>
    <row r="59" spans="1:10" s="45" customFormat="1" ht="24" customHeight="1">
      <c r="A59" s="20">
        <v>40736</v>
      </c>
      <c r="B59" s="21" t="s">
        <v>66</v>
      </c>
      <c r="C59" s="22"/>
      <c r="D59" s="23"/>
      <c r="E59" s="22" t="s">
        <v>45</v>
      </c>
      <c r="F59" s="24">
        <v>1</v>
      </c>
      <c r="G59" s="24">
        <v>4677.09</v>
      </c>
      <c r="H59" s="24">
        <f t="shared" si="2"/>
        <v>4677.09</v>
      </c>
      <c r="J59" s="46"/>
    </row>
    <row r="60" spans="1:10" s="45" customFormat="1" ht="24" customHeight="1">
      <c r="A60" s="20">
        <v>40741</v>
      </c>
      <c r="B60" s="21" t="s">
        <v>67</v>
      </c>
      <c r="C60" s="22"/>
      <c r="D60" s="23"/>
      <c r="E60" s="22" t="s">
        <v>45</v>
      </c>
      <c r="F60" s="24">
        <v>1</v>
      </c>
      <c r="G60" s="24">
        <v>6038.9</v>
      </c>
      <c r="H60" s="24">
        <f t="shared" si="2"/>
        <v>6038.9</v>
      </c>
      <c r="J60" s="46"/>
    </row>
    <row r="61" spans="1:10" s="45" customFormat="1" ht="24" customHeight="1">
      <c r="A61" s="20" t="s">
        <v>68</v>
      </c>
      <c r="B61" s="21" t="s">
        <v>69</v>
      </c>
      <c r="C61" s="22" t="s">
        <v>63</v>
      </c>
      <c r="D61" s="23"/>
      <c r="E61" s="22" t="s">
        <v>45</v>
      </c>
      <c r="F61" s="48">
        <v>1</v>
      </c>
      <c r="G61" s="24">
        <v>8162.58</v>
      </c>
      <c r="H61" s="24">
        <f t="shared" si="2"/>
        <v>8162.58</v>
      </c>
      <c r="J61" s="46"/>
    </row>
    <row r="62" spans="1:8" ht="24" customHeight="1">
      <c r="A62" s="20">
        <v>40742</v>
      </c>
      <c r="B62" s="21" t="s">
        <v>70</v>
      </c>
      <c r="C62" s="22"/>
      <c r="D62" s="23"/>
      <c r="E62" s="22" t="s">
        <v>45</v>
      </c>
      <c r="F62" s="48">
        <v>1</v>
      </c>
      <c r="G62" s="24">
        <v>12392.34</v>
      </c>
      <c r="H62" s="24">
        <f t="shared" si="2"/>
        <v>12392.34</v>
      </c>
    </row>
    <row r="63" spans="1:8" ht="24" customHeight="1">
      <c r="A63" s="49">
        <v>40747</v>
      </c>
      <c r="B63" s="50" t="s">
        <v>71</v>
      </c>
      <c r="C63" s="51" t="s">
        <v>72</v>
      </c>
      <c r="D63" s="52"/>
      <c r="E63" s="51" t="s">
        <v>22</v>
      </c>
      <c r="F63" s="53">
        <v>50.4</v>
      </c>
      <c r="G63" s="54">
        <v>127.78</v>
      </c>
      <c r="H63" s="54">
        <f t="shared" si="2"/>
        <v>6440.11</v>
      </c>
    </row>
    <row r="64" spans="1:17" s="27" customFormat="1" ht="11.25" customHeight="1">
      <c r="A64" s="25" t="str">
        <f>A41</f>
        <v>Data Base : OUTUBRO / 2018</v>
      </c>
      <c r="B64" s="26"/>
      <c r="C64" s="273"/>
      <c r="D64" s="273"/>
      <c r="E64" s="273"/>
      <c r="F64" s="273"/>
      <c r="G64" s="273"/>
      <c r="H64" s="273"/>
      <c r="I64" s="7"/>
      <c r="J64" s="7"/>
      <c r="K64" s="7"/>
      <c r="L64" s="7"/>
      <c r="M64" s="7"/>
      <c r="N64" s="7"/>
      <c r="O64" s="7"/>
      <c r="P64" s="7"/>
      <c r="Q64" s="7"/>
    </row>
    <row r="65" spans="1:17" s="27" customFormat="1" ht="11.25" customHeight="1">
      <c r="A65" s="28"/>
      <c r="B65" s="29"/>
      <c r="C65" s="274"/>
      <c r="D65" s="274"/>
      <c r="E65" s="274"/>
      <c r="F65" s="274"/>
      <c r="G65" s="274"/>
      <c r="H65" s="274"/>
      <c r="I65" s="7"/>
      <c r="J65" s="7"/>
      <c r="K65" s="7"/>
      <c r="L65" s="7"/>
      <c r="M65" s="7"/>
      <c r="N65" s="7"/>
      <c r="O65" s="7"/>
      <c r="P65" s="7"/>
      <c r="Q65" s="7"/>
    </row>
    <row r="66" spans="1:17" s="33" customFormat="1" ht="12.75" customHeight="1">
      <c r="A66" s="30" t="s">
        <v>28</v>
      </c>
      <c r="B66" s="31"/>
      <c r="C66" s="275" t="s">
        <v>29</v>
      </c>
      <c r="D66" s="275"/>
      <c r="E66" s="275"/>
      <c r="F66" s="275"/>
      <c r="G66" s="275"/>
      <c r="H66" s="275"/>
      <c r="I66" s="32"/>
      <c r="J66" s="32"/>
      <c r="K66" s="32"/>
      <c r="L66" s="32"/>
      <c r="M66" s="32"/>
      <c r="N66" s="32"/>
      <c r="O66" s="32"/>
      <c r="P66" s="32"/>
      <c r="Q66" s="32"/>
    </row>
    <row r="67" spans="1:17" s="33" customFormat="1" ht="15" customHeight="1">
      <c r="A67" s="34" t="s">
        <v>30</v>
      </c>
      <c r="B67" s="35"/>
      <c r="C67" s="275"/>
      <c r="D67" s="275"/>
      <c r="E67" s="275"/>
      <c r="F67" s="275"/>
      <c r="G67" s="275"/>
      <c r="H67" s="275"/>
      <c r="I67" s="32"/>
      <c r="J67" s="32"/>
      <c r="K67" s="32"/>
      <c r="L67" s="32"/>
      <c r="M67" s="32"/>
      <c r="N67" s="32"/>
      <c r="O67" s="32"/>
      <c r="P67" s="32"/>
      <c r="Q67" s="32"/>
    </row>
    <row r="68" spans="1:17" s="33" customFormat="1" ht="12.75" customHeight="1">
      <c r="A68" s="34" t="s">
        <v>332</v>
      </c>
      <c r="B68" s="35"/>
      <c r="C68" s="275" t="s">
        <v>31</v>
      </c>
      <c r="D68" s="275"/>
      <c r="E68" s="275"/>
      <c r="F68" s="275"/>
      <c r="G68" s="275"/>
      <c r="H68" s="276" t="s">
        <v>32</v>
      </c>
      <c r="I68" s="32"/>
      <c r="J68" s="32"/>
      <c r="K68" s="32"/>
      <c r="L68" s="32"/>
      <c r="M68" s="32"/>
      <c r="N68" s="32"/>
      <c r="O68" s="32"/>
      <c r="P68" s="32"/>
      <c r="Q68" s="32"/>
    </row>
    <row r="69" spans="1:17" s="33" customFormat="1" ht="12.75" customHeight="1">
      <c r="A69" s="36" t="s">
        <v>33</v>
      </c>
      <c r="B69" s="37" t="s">
        <v>333</v>
      </c>
      <c r="C69" s="275"/>
      <c r="D69" s="275"/>
      <c r="E69" s="275"/>
      <c r="F69" s="275"/>
      <c r="G69" s="275"/>
      <c r="H69" s="276"/>
      <c r="I69" s="32"/>
      <c r="J69" s="32"/>
      <c r="K69" s="32"/>
      <c r="L69" s="32"/>
      <c r="M69" s="32"/>
      <c r="N69" s="32"/>
      <c r="O69" s="32"/>
      <c r="P69" s="32"/>
      <c r="Q69" s="32"/>
    </row>
    <row r="70" spans="1:8" s="7" customFormat="1" ht="19.5" customHeight="1">
      <c r="A70" s="277" t="s">
        <v>0</v>
      </c>
      <c r="B70" s="277" t="s">
        <v>331</v>
      </c>
      <c r="C70" s="277" t="s">
        <v>1</v>
      </c>
      <c r="D70" s="278" t="s">
        <v>2</v>
      </c>
      <c r="E70" s="277" t="s">
        <v>3</v>
      </c>
      <c r="F70" s="279" t="s">
        <v>4</v>
      </c>
      <c r="G70" s="271" t="s">
        <v>5</v>
      </c>
      <c r="H70" s="271"/>
    </row>
    <row r="71" spans="1:8" s="7" customFormat="1" ht="19.5" customHeight="1">
      <c r="A71" s="277"/>
      <c r="B71" s="277"/>
      <c r="C71" s="277"/>
      <c r="D71" s="278"/>
      <c r="E71" s="277"/>
      <c r="F71" s="279"/>
      <c r="G71" s="6" t="s">
        <v>6</v>
      </c>
      <c r="H71" s="6" t="s">
        <v>7</v>
      </c>
    </row>
    <row r="72" spans="1:10" s="45" customFormat="1" ht="24" customHeight="1">
      <c r="A72" s="20">
        <v>60024</v>
      </c>
      <c r="B72" s="21" t="s">
        <v>73</v>
      </c>
      <c r="C72" s="22"/>
      <c r="D72" s="23">
        <f>'Demolição tubo'!$P$18</f>
        <v>20.86737250898352</v>
      </c>
      <c r="E72" s="22" t="s">
        <v>15</v>
      </c>
      <c r="F72" s="24">
        <v>62.09</v>
      </c>
      <c r="G72" s="24">
        <v>14.66</v>
      </c>
      <c r="H72" s="24">
        <f aca="true" t="shared" si="3" ref="H72:H86">TRUNC(F72*G72,2)</f>
        <v>910.23</v>
      </c>
      <c r="J72" s="46"/>
    </row>
    <row r="73" spans="1:8" ht="24" customHeight="1">
      <c r="A73" s="20">
        <v>40673</v>
      </c>
      <c r="B73" s="21" t="s">
        <v>74</v>
      </c>
      <c r="C73" s="22" t="s">
        <v>75</v>
      </c>
      <c r="D73" s="23"/>
      <c r="E73" s="22" t="s">
        <v>45</v>
      </c>
      <c r="F73" s="24">
        <v>25</v>
      </c>
      <c r="G73" s="24">
        <v>73.6</v>
      </c>
      <c r="H73" s="24">
        <f t="shared" si="3"/>
        <v>1840</v>
      </c>
    </row>
    <row r="74" spans="1:8" ht="24" customHeight="1">
      <c r="A74" s="20">
        <v>40674</v>
      </c>
      <c r="B74" s="21" t="s">
        <v>76</v>
      </c>
      <c r="C74" s="22" t="s">
        <v>75</v>
      </c>
      <c r="D74" s="23"/>
      <c r="E74" s="22" t="s">
        <v>45</v>
      </c>
      <c r="F74" s="24">
        <v>4</v>
      </c>
      <c r="G74" s="24">
        <v>78.94</v>
      </c>
      <c r="H74" s="24">
        <f t="shared" si="3"/>
        <v>315.76</v>
      </c>
    </row>
    <row r="75" spans="1:8" ht="24" customHeight="1">
      <c r="A75" s="20">
        <v>40659</v>
      </c>
      <c r="B75" s="21" t="s">
        <v>77</v>
      </c>
      <c r="C75" s="22"/>
      <c r="D75" s="23"/>
      <c r="E75" s="22" t="s">
        <v>22</v>
      </c>
      <c r="F75" s="24">
        <v>895</v>
      </c>
      <c r="G75" s="24">
        <v>50.73</v>
      </c>
      <c r="H75" s="24">
        <f t="shared" si="3"/>
        <v>45403.35</v>
      </c>
    </row>
    <row r="76" spans="1:8" ht="24" customHeight="1">
      <c r="A76" s="20" t="s">
        <v>78</v>
      </c>
      <c r="B76" s="21" t="s">
        <v>79</v>
      </c>
      <c r="C76" s="22"/>
      <c r="D76" s="23"/>
      <c r="E76" s="22" t="s">
        <v>22</v>
      </c>
      <c r="F76" s="24">
        <v>389</v>
      </c>
      <c r="G76" s="24">
        <v>143.13</v>
      </c>
      <c r="H76" s="24">
        <f t="shared" si="3"/>
        <v>55677.57</v>
      </c>
    </row>
    <row r="77" spans="1:10" s="45" customFormat="1" ht="24" customHeight="1">
      <c r="A77" s="20">
        <v>40662</v>
      </c>
      <c r="B77" s="21" t="s">
        <v>80</v>
      </c>
      <c r="C77" s="22"/>
      <c r="D77" s="23"/>
      <c r="E77" s="22" t="s">
        <v>22</v>
      </c>
      <c r="F77" s="24">
        <v>330</v>
      </c>
      <c r="G77" s="24">
        <v>58.74</v>
      </c>
      <c r="H77" s="24">
        <f t="shared" si="3"/>
        <v>19384.2</v>
      </c>
      <c r="J77" s="46"/>
    </row>
    <row r="78" spans="1:10" s="45" customFormat="1" ht="24" customHeight="1">
      <c r="A78" s="20">
        <v>40666</v>
      </c>
      <c r="B78" s="21" t="s">
        <v>81</v>
      </c>
      <c r="C78" s="22" t="s">
        <v>82</v>
      </c>
      <c r="D78" s="23"/>
      <c r="E78" s="22" t="s">
        <v>22</v>
      </c>
      <c r="F78" s="24">
        <v>2244</v>
      </c>
      <c r="G78" s="24">
        <v>85.39</v>
      </c>
      <c r="H78" s="24">
        <f t="shared" si="3"/>
        <v>191615.16</v>
      </c>
      <c r="J78" s="46"/>
    </row>
    <row r="79" spans="1:10" s="45" customFormat="1" ht="24" customHeight="1">
      <c r="A79" s="47" t="s">
        <v>83</v>
      </c>
      <c r="B79" s="21" t="s">
        <v>84</v>
      </c>
      <c r="C79" s="22"/>
      <c r="D79" s="23"/>
      <c r="E79" s="22" t="s">
        <v>22</v>
      </c>
      <c r="F79" s="24">
        <v>3</v>
      </c>
      <c r="G79" s="48">
        <v>629.71</v>
      </c>
      <c r="H79" s="24">
        <f t="shared" si="3"/>
        <v>1889.13</v>
      </c>
      <c r="J79" s="46"/>
    </row>
    <row r="80" spans="1:10" s="45" customFormat="1" ht="24" customHeight="1">
      <c r="A80" s="55">
        <v>40689</v>
      </c>
      <c r="B80" s="21" t="s">
        <v>85</v>
      </c>
      <c r="C80" s="22"/>
      <c r="D80" s="23"/>
      <c r="E80" s="22" t="s">
        <v>45</v>
      </c>
      <c r="F80" s="48">
        <v>4</v>
      </c>
      <c r="G80" s="24">
        <v>758.8</v>
      </c>
      <c r="H80" s="24">
        <f t="shared" si="3"/>
        <v>3035.2</v>
      </c>
      <c r="J80" s="46"/>
    </row>
    <row r="81" spans="1:10" s="45" customFormat="1" ht="24" customHeight="1">
      <c r="A81" s="20">
        <v>40731</v>
      </c>
      <c r="B81" s="21" t="s">
        <v>86</v>
      </c>
      <c r="C81" s="22" t="s">
        <v>63</v>
      </c>
      <c r="D81" s="23"/>
      <c r="E81" s="22" t="s">
        <v>45</v>
      </c>
      <c r="F81" s="24">
        <v>10</v>
      </c>
      <c r="G81" s="24">
        <v>423.14</v>
      </c>
      <c r="H81" s="24">
        <f t="shared" si="3"/>
        <v>4231.4</v>
      </c>
      <c r="J81" s="46"/>
    </row>
    <row r="82" spans="1:10" s="45" customFormat="1" ht="24" customHeight="1">
      <c r="A82" s="20" t="s">
        <v>87</v>
      </c>
      <c r="B82" s="21" t="s">
        <v>88</v>
      </c>
      <c r="C82" s="22" t="s">
        <v>63</v>
      </c>
      <c r="D82" s="23"/>
      <c r="E82" s="22" t="s">
        <v>45</v>
      </c>
      <c r="F82" s="24">
        <v>1</v>
      </c>
      <c r="G82" s="24">
        <v>561.72</v>
      </c>
      <c r="H82" s="24">
        <f t="shared" si="3"/>
        <v>561.72</v>
      </c>
      <c r="J82" s="46"/>
    </row>
    <row r="83" spans="1:10" s="45" customFormat="1" ht="24" customHeight="1">
      <c r="A83" s="20">
        <v>40699</v>
      </c>
      <c r="B83" s="21" t="s">
        <v>89</v>
      </c>
      <c r="C83" s="22"/>
      <c r="D83" s="23"/>
      <c r="E83" s="22" t="s">
        <v>22</v>
      </c>
      <c r="F83" s="24">
        <v>907</v>
      </c>
      <c r="G83" s="24">
        <v>213.57</v>
      </c>
      <c r="H83" s="24">
        <f t="shared" si="3"/>
        <v>193707.99</v>
      </c>
      <c r="J83" s="46"/>
    </row>
    <row r="84" spans="1:10" s="45" customFormat="1" ht="24" customHeight="1">
      <c r="A84" s="20">
        <v>40696</v>
      </c>
      <c r="B84" s="21" t="s">
        <v>90</v>
      </c>
      <c r="C84" s="22"/>
      <c r="D84" s="23"/>
      <c r="E84" s="22" t="s">
        <v>22</v>
      </c>
      <c r="F84" s="24">
        <v>2174</v>
      </c>
      <c r="G84" s="24">
        <v>179.09</v>
      </c>
      <c r="H84" s="24">
        <f t="shared" si="3"/>
        <v>389341.66</v>
      </c>
      <c r="J84" s="46"/>
    </row>
    <row r="85" spans="1:8" ht="24" customHeight="1">
      <c r="A85" s="20">
        <v>40676</v>
      </c>
      <c r="B85" s="21" t="s">
        <v>91</v>
      </c>
      <c r="C85" s="22" t="s">
        <v>75</v>
      </c>
      <c r="D85" s="23"/>
      <c r="E85" s="22" t="s">
        <v>22</v>
      </c>
      <c r="F85" s="24">
        <v>51.5</v>
      </c>
      <c r="G85" s="24">
        <v>304.27</v>
      </c>
      <c r="H85" s="24">
        <f t="shared" si="3"/>
        <v>15669.9</v>
      </c>
    </row>
    <row r="86" spans="1:8" ht="24" customHeight="1">
      <c r="A86" s="20">
        <v>40677</v>
      </c>
      <c r="B86" s="21" t="s">
        <v>92</v>
      </c>
      <c r="C86" s="22" t="s">
        <v>75</v>
      </c>
      <c r="D86" s="23"/>
      <c r="E86" s="22" t="s">
        <v>45</v>
      </c>
      <c r="F86" s="24">
        <v>16</v>
      </c>
      <c r="G86" s="24">
        <v>647.02</v>
      </c>
      <c r="H86" s="24">
        <f t="shared" si="3"/>
        <v>10352.32</v>
      </c>
    </row>
    <row r="87" spans="1:17" s="27" customFormat="1" ht="11.25" customHeight="1">
      <c r="A87" s="25" t="str">
        <f>A64</f>
        <v>Data Base : OUTUBRO / 2018</v>
      </c>
      <c r="B87" s="26"/>
      <c r="C87" s="273"/>
      <c r="D87" s="273"/>
      <c r="E87" s="273"/>
      <c r="F87" s="273"/>
      <c r="G87" s="273"/>
      <c r="H87" s="273"/>
      <c r="I87" s="7"/>
      <c r="J87" s="7"/>
      <c r="K87" s="7"/>
      <c r="L87" s="7"/>
      <c r="M87" s="7"/>
      <c r="N87" s="7"/>
      <c r="O87" s="7"/>
      <c r="P87" s="7"/>
      <c r="Q87" s="7"/>
    </row>
    <row r="88" spans="1:17" s="27" customFormat="1" ht="11.25" customHeight="1">
      <c r="A88" s="28"/>
      <c r="B88" s="29"/>
      <c r="C88" s="274"/>
      <c r="D88" s="274"/>
      <c r="E88" s="274"/>
      <c r="F88" s="274"/>
      <c r="G88" s="274"/>
      <c r="H88" s="274"/>
      <c r="I88" s="7"/>
      <c r="J88" s="7"/>
      <c r="K88" s="7"/>
      <c r="L88" s="7"/>
      <c r="M88" s="7"/>
      <c r="N88" s="7"/>
      <c r="O88" s="7"/>
      <c r="P88" s="7"/>
      <c r="Q88" s="7"/>
    </row>
    <row r="89" spans="1:17" s="33" customFormat="1" ht="12.75" customHeight="1">
      <c r="A89" s="30" t="s">
        <v>28</v>
      </c>
      <c r="B89" s="31"/>
      <c r="C89" s="275" t="s">
        <v>29</v>
      </c>
      <c r="D89" s="275"/>
      <c r="E89" s="275"/>
      <c r="F89" s="275"/>
      <c r="G89" s="275"/>
      <c r="H89" s="275"/>
      <c r="I89" s="32"/>
      <c r="J89" s="32"/>
      <c r="K89" s="32"/>
      <c r="L89" s="32"/>
      <c r="M89" s="32"/>
      <c r="N89" s="32"/>
      <c r="O89" s="32"/>
      <c r="P89" s="32"/>
      <c r="Q89" s="32"/>
    </row>
    <row r="90" spans="1:17" s="33" customFormat="1" ht="12.75" customHeight="1">
      <c r="A90" s="34" t="s">
        <v>30</v>
      </c>
      <c r="B90" s="35"/>
      <c r="C90" s="275"/>
      <c r="D90" s="275"/>
      <c r="E90" s="275"/>
      <c r="F90" s="275"/>
      <c r="G90" s="275"/>
      <c r="H90" s="275"/>
      <c r="I90" s="32"/>
      <c r="J90" s="32"/>
      <c r="K90" s="32"/>
      <c r="L90" s="32"/>
      <c r="M90" s="32"/>
      <c r="N90" s="32"/>
      <c r="O90" s="32"/>
      <c r="P90" s="32"/>
      <c r="Q90" s="32"/>
    </row>
    <row r="91" spans="1:17" s="33" customFormat="1" ht="12.75" customHeight="1">
      <c r="A91" s="34" t="s">
        <v>332</v>
      </c>
      <c r="B91" s="35"/>
      <c r="C91" s="275" t="s">
        <v>31</v>
      </c>
      <c r="D91" s="275"/>
      <c r="E91" s="275"/>
      <c r="F91" s="275"/>
      <c r="G91" s="275"/>
      <c r="H91" s="276" t="s">
        <v>32</v>
      </c>
      <c r="I91" s="32"/>
      <c r="J91" s="32"/>
      <c r="K91" s="32"/>
      <c r="L91" s="32"/>
      <c r="M91" s="32"/>
      <c r="N91" s="32"/>
      <c r="O91" s="32"/>
      <c r="P91" s="32"/>
      <c r="Q91" s="32"/>
    </row>
    <row r="92" spans="1:17" s="33" customFormat="1" ht="12.75" customHeight="1">
      <c r="A92" s="36" t="s">
        <v>33</v>
      </c>
      <c r="B92" s="37" t="s">
        <v>333</v>
      </c>
      <c r="C92" s="275"/>
      <c r="D92" s="275"/>
      <c r="E92" s="275"/>
      <c r="F92" s="275"/>
      <c r="G92" s="275"/>
      <c r="H92" s="276"/>
      <c r="I92" s="32"/>
      <c r="J92" s="32"/>
      <c r="K92" s="32"/>
      <c r="L92" s="32"/>
      <c r="M92" s="32"/>
      <c r="N92" s="32"/>
      <c r="O92" s="32"/>
      <c r="P92" s="32"/>
      <c r="Q92" s="32"/>
    </row>
    <row r="93" spans="1:8" s="7" customFormat="1" ht="19.5" customHeight="1">
      <c r="A93" s="277" t="s">
        <v>0</v>
      </c>
      <c r="B93" s="277" t="s">
        <v>331</v>
      </c>
      <c r="C93" s="277" t="s">
        <v>1</v>
      </c>
      <c r="D93" s="278" t="s">
        <v>2</v>
      </c>
      <c r="E93" s="277" t="s">
        <v>3</v>
      </c>
      <c r="F93" s="279" t="s">
        <v>4</v>
      </c>
      <c r="G93" s="271" t="s">
        <v>5</v>
      </c>
      <c r="H93" s="271"/>
    </row>
    <row r="94" spans="1:8" s="7" customFormat="1" ht="19.5" customHeight="1">
      <c r="A94" s="277"/>
      <c r="B94" s="277"/>
      <c r="C94" s="277"/>
      <c r="D94" s="278"/>
      <c r="E94" s="277"/>
      <c r="F94" s="279"/>
      <c r="G94" s="6" t="s">
        <v>6</v>
      </c>
      <c r="H94" s="6" t="s">
        <v>7</v>
      </c>
    </row>
    <row r="95" spans="1:10" s="45" customFormat="1" ht="24" customHeight="1">
      <c r="A95" s="20">
        <v>40681</v>
      </c>
      <c r="B95" s="21" t="s">
        <v>93</v>
      </c>
      <c r="C95" s="22" t="s">
        <v>75</v>
      </c>
      <c r="D95" s="23"/>
      <c r="E95" s="22" t="s">
        <v>45</v>
      </c>
      <c r="F95" s="24">
        <v>19</v>
      </c>
      <c r="G95" s="24">
        <v>720.17</v>
      </c>
      <c r="H95" s="24">
        <f aca="true" t="shared" si="4" ref="H95:H102">TRUNC(F95*G95,2)</f>
        <v>13683.23</v>
      </c>
      <c r="J95" s="46"/>
    </row>
    <row r="96" spans="1:8" ht="24" customHeight="1">
      <c r="A96" s="20">
        <v>40680</v>
      </c>
      <c r="B96" s="21" t="s">
        <v>94</v>
      </c>
      <c r="C96" s="22" t="s">
        <v>75</v>
      </c>
      <c r="D96" s="23"/>
      <c r="E96" s="22" t="s">
        <v>22</v>
      </c>
      <c r="F96" s="24">
        <v>86.5</v>
      </c>
      <c r="G96" s="24">
        <v>368.64</v>
      </c>
      <c r="H96" s="24">
        <f t="shared" si="4"/>
        <v>31887.36</v>
      </c>
    </row>
    <row r="97" spans="1:8" ht="24" customHeight="1">
      <c r="A97" s="20">
        <v>40682</v>
      </c>
      <c r="B97" s="21" t="s">
        <v>95</v>
      </c>
      <c r="C97" s="22" t="s">
        <v>75</v>
      </c>
      <c r="D97" s="23"/>
      <c r="E97" s="22" t="s">
        <v>45</v>
      </c>
      <c r="F97" s="24">
        <v>27</v>
      </c>
      <c r="G97" s="24">
        <v>644.27</v>
      </c>
      <c r="H97" s="24">
        <f t="shared" si="4"/>
        <v>17395.29</v>
      </c>
    </row>
    <row r="98" spans="1:8" ht="31.5" customHeight="1">
      <c r="A98" s="20">
        <v>40646</v>
      </c>
      <c r="B98" s="21" t="s">
        <v>96</v>
      </c>
      <c r="C98" s="22" t="s">
        <v>97</v>
      </c>
      <c r="D98" s="23"/>
      <c r="E98" s="22" t="s">
        <v>22</v>
      </c>
      <c r="F98" s="24">
        <v>665</v>
      </c>
      <c r="G98" s="24">
        <v>152.73</v>
      </c>
      <c r="H98" s="24">
        <f t="shared" si="4"/>
        <v>101565.45</v>
      </c>
    </row>
    <row r="99" spans="1:8" ht="24" customHeight="1">
      <c r="A99" s="20">
        <v>40656</v>
      </c>
      <c r="B99" s="21" t="s">
        <v>98</v>
      </c>
      <c r="C99" s="22" t="s">
        <v>97</v>
      </c>
      <c r="D99" s="23"/>
      <c r="E99" s="22" t="s">
        <v>45</v>
      </c>
      <c r="F99" s="24">
        <v>4</v>
      </c>
      <c r="G99" s="24">
        <v>251.99</v>
      </c>
      <c r="H99" s="24">
        <f t="shared" si="4"/>
        <v>1007.96</v>
      </c>
    </row>
    <row r="100" spans="1:10" s="45" customFormat="1" ht="24" customHeight="1">
      <c r="A100" s="20" t="s">
        <v>99</v>
      </c>
      <c r="B100" s="21" t="s">
        <v>100</v>
      </c>
      <c r="C100" s="22"/>
      <c r="D100" s="23"/>
      <c r="E100" s="22" t="s">
        <v>45</v>
      </c>
      <c r="F100" s="24">
        <v>5</v>
      </c>
      <c r="G100" s="24">
        <v>806.29</v>
      </c>
      <c r="H100" s="24">
        <f t="shared" si="4"/>
        <v>4031.45</v>
      </c>
      <c r="J100" s="46"/>
    </row>
    <row r="101" spans="1:10" s="45" customFormat="1" ht="26.25" customHeight="1">
      <c r="A101" s="20" t="s">
        <v>101</v>
      </c>
      <c r="B101" s="21" t="s">
        <v>102</v>
      </c>
      <c r="C101" s="22"/>
      <c r="D101" s="23"/>
      <c r="E101" s="22" t="s">
        <v>22</v>
      </c>
      <c r="F101" s="24">
        <f>F100*3</f>
        <v>15</v>
      </c>
      <c r="G101" s="24">
        <v>455.58</v>
      </c>
      <c r="H101" s="24">
        <f t="shared" si="4"/>
        <v>6833.7</v>
      </c>
      <c r="J101" s="46"/>
    </row>
    <row r="102" spans="1:10" s="45" customFormat="1" ht="24" customHeight="1">
      <c r="A102" s="20" t="s">
        <v>103</v>
      </c>
      <c r="B102" s="21" t="s">
        <v>104</v>
      </c>
      <c r="C102" s="22"/>
      <c r="D102" s="23"/>
      <c r="E102" s="22" t="s">
        <v>22</v>
      </c>
      <c r="F102" s="24">
        <v>26.9</v>
      </c>
      <c r="G102" s="24">
        <v>336.31</v>
      </c>
      <c r="H102" s="24">
        <f t="shared" si="4"/>
        <v>9046.73</v>
      </c>
      <c r="J102" s="46"/>
    </row>
    <row r="103" spans="1:10" s="45" customFormat="1" ht="24" customHeight="1">
      <c r="A103" s="20"/>
      <c r="B103" s="21"/>
      <c r="C103" s="22"/>
      <c r="D103" s="23"/>
      <c r="E103" s="22"/>
      <c r="F103" s="24"/>
      <c r="G103" s="24"/>
      <c r="H103" s="24"/>
      <c r="J103" s="46"/>
    </row>
    <row r="104" spans="1:10" s="45" customFormat="1" ht="24" customHeight="1">
      <c r="A104" s="56"/>
      <c r="B104" s="57" t="s">
        <v>105</v>
      </c>
      <c r="C104" s="58"/>
      <c r="D104" s="59"/>
      <c r="E104" s="58"/>
      <c r="F104" s="60"/>
      <c r="G104" s="60"/>
      <c r="H104" s="60"/>
      <c r="J104" s="46"/>
    </row>
    <row r="105" spans="1:10" s="45" customFormat="1" ht="24" customHeight="1">
      <c r="A105" s="20">
        <v>40258</v>
      </c>
      <c r="B105" s="21" t="s">
        <v>106</v>
      </c>
      <c r="C105" s="22"/>
      <c r="D105" s="23"/>
      <c r="E105" s="22" t="s">
        <v>11</v>
      </c>
      <c r="F105" s="24">
        <v>0</v>
      </c>
      <c r="G105" s="24">
        <v>64.87</v>
      </c>
      <c r="H105" s="24">
        <f>TRUNC(F105*G105,2)</f>
        <v>0</v>
      </c>
      <c r="J105" s="46"/>
    </row>
    <row r="106" spans="1:10" s="45" customFormat="1" ht="24" customHeight="1">
      <c r="A106" s="20">
        <v>40316</v>
      </c>
      <c r="B106" s="21" t="s">
        <v>107</v>
      </c>
      <c r="C106" s="22"/>
      <c r="D106" s="23"/>
      <c r="E106" s="22" t="s">
        <v>108</v>
      </c>
      <c r="F106" s="24">
        <v>0</v>
      </c>
      <c r="G106" s="24">
        <v>73.55</v>
      </c>
      <c r="H106" s="24">
        <f>TRUNC(F106*G106,2)</f>
        <v>0</v>
      </c>
      <c r="J106" s="46"/>
    </row>
    <row r="107" spans="1:8" ht="24" customHeight="1">
      <c r="A107" s="20">
        <v>40362</v>
      </c>
      <c r="B107" s="21" t="s">
        <v>109</v>
      </c>
      <c r="C107" s="22"/>
      <c r="D107" s="23"/>
      <c r="E107" s="22" t="s">
        <v>11</v>
      </c>
      <c r="F107" s="24">
        <v>0</v>
      </c>
      <c r="G107" s="24">
        <v>673.01</v>
      </c>
      <c r="H107" s="24">
        <f>TRUNC(F107*G107,2)</f>
        <v>0</v>
      </c>
    </row>
    <row r="108" spans="1:8" ht="24" customHeight="1">
      <c r="A108" s="20">
        <v>40376</v>
      </c>
      <c r="B108" s="21" t="s">
        <v>110</v>
      </c>
      <c r="C108" s="22"/>
      <c r="D108" s="23"/>
      <c r="E108" s="22" t="s">
        <v>111</v>
      </c>
      <c r="F108" s="24">
        <v>0</v>
      </c>
      <c r="G108" s="24">
        <v>9.72</v>
      </c>
      <c r="H108" s="24">
        <f>TRUNC(F108*G108,2)</f>
        <v>0</v>
      </c>
    </row>
    <row r="109" spans="1:17" s="27" customFormat="1" ht="11.25" customHeight="1">
      <c r="A109" s="25" t="str">
        <f>A87</f>
        <v>Data Base : OUTUBRO / 2018</v>
      </c>
      <c r="B109" s="26"/>
      <c r="C109" s="273"/>
      <c r="D109" s="273"/>
      <c r="E109" s="273"/>
      <c r="F109" s="273"/>
      <c r="G109" s="273"/>
      <c r="H109" s="273"/>
      <c r="I109" s="7"/>
      <c r="J109" s="7"/>
      <c r="K109" s="7"/>
      <c r="L109" s="7"/>
      <c r="M109" s="7"/>
      <c r="N109" s="7"/>
      <c r="O109" s="7"/>
      <c r="P109" s="7"/>
      <c r="Q109" s="7"/>
    </row>
    <row r="110" spans="1:17" s="27" customFormat="1" ht="11.25" customHeight="1">
      <c r="A110" s="28"/>
      <c r="B110" s="29"/>
      <c r="C110" s="274"/>
      <c r="D110" s="274"/>
      <c r="E110" s="274"/>
      <c r="F110" s="274"/>
      <c r="G110" s="274"/>
      <c r="H110" s="274"/>
      <c r="I110" s="7"/>
      <c r="J110" s="7"/>
      <c r="K110" s="7"/>
      <c r="L110" s="7"/>
      <c r="M110" s="7"/>
      <c r="N110" s="7"/>
      <c r="O110" s="7"/>
      <c r="P110" s="7"/>
      <c r="Q110" s="7"/>
    </row>
    <row r="111" spans="1:17" s="33" customFormat="1" ht="12.75" customHeight="1">
      <c r="A111" s="30" t="s">
        <v>28</v>
      </c>
      <c r="B111" s="31"/>
      <c r="C111" s="275" t="s">
        <v>29</v>
      </c>
      <c r="D111" s="275"/>
      <c r="E111" s="275"/>
      <c r="F111" s="275"/>
      <c r="G111" s="275"/>
      <c r="H111" s="275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s="33" customFormat="1" ht="13.5" customHeight="1">
      <c r="A112" s="34" t="s">
        <v>30</v>
      </c>
      <c r="B112" s="35"/>
      <c r="C112" s="275"/>
      <c r="D112" s="275"/>
      <c r="E112" s="275"/>
      <c r="F112" s="275"/>
      <c r="G112" s="275"/>
      <c r="H112" s="275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s="33" customFormat="1" ht="12.75" customHeight="1">
      <c r="A113" s="34" t="s">
        <v>332</v>
      </c>
      <c r="B113" s="35"/>
      <c r="C113" s="275" t="s">
        <v>31</v>
      </c>
      <c r="D113" s="275"/>
      <c r="E113" s="275"/>
      <c r="F113" s="275"/>
      <c r="G113" s="275"/>
      <c r="H113" s="276" t="s">
        <v>32</v>
      </c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s="33" customFormat="1" ht="12.75" customHeight="1">
      <c r="A114" s="36" t="s">
        <v>33</v>
      </c>
      <c r="B114" s="37" t="s">
        <v>333</v>
      </c>
      <c r="C114" s="275"/>
      <c r="D114" s="275"/>
      <c r="E114" s="275"/>
      <c r="F114" s="275"/>
      <c r="G114" s="275"/>
      <c r="H114" s="276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8" s="7" customFormat="1" ht="19.5" customHeight="1">
      <c r="A115" s="277" t="s">
        <v>0</v>
      </c>
      <c r="B115" s="277" t="s">
        <v>331</v>
      </c>
      <c r="C115" s="277" t="s">
        <v>1</v>
      </c>
      <c r="D115" s="278" t="s">
        <v>2</v>
      </c>
      <c r="E115" s="277" t="s">
        <v>3</v>
      </c>
      <c r="F115" s="279" t="s">
        <v>4</v>
      </c>
      <c r="G115" s="271" t="s">
        <v>5</v>
      </c>
      <c r="H115" s="271"/>
    </row>
    <row r="116" spans="1:8" s="7" customFormat="1" ht="19.5" customHeight="1">
      <c r="A116" s="277"/>
      <c r="B116" s="277"/>
      <c r="C116" s="277"/>
      <c r="D116" s="278"/>
      <c r="E116" s="277"/>
      <c r="F116" s="279"/>
      <c r="G116" s="6" t="s">
        <v>6</v>
      </c>
      <c r="H116" s="6" t="s">
        <v>7</v>
      </c>
    </row>
    <row r="117" spans="1:10" s="45" customFormat="1" ht="24" customHeight="1">
      <c r="A117" s="15"/>
      <c r="B117" s="61" t="s">
        <v>112</v>
      </c>
      <c r="C117" s="17"/>
      <c r="D117" s="18"/>
      <c r="E117" s="17"/>
      <c r="F117" s="19"/>
      <c r="G117" s="19"/>
      <c r="H117" s="19"/>
      <c r="J117" s="46"/>
    </row>
    <row r="118" spans="1:8" ht="24" customHeight="1">
      <c r="A118" s="20">
        <v>40258</v>
      </c>
      <c r="B118" s="21" t="s">
        <v>106</v>
      </c>
      <c r="C118" s="22"/>
      <c r="D118" s="23"/>
      <c r="E118" s="22" t="s">
        <v>11</v>
      </c>
      <c r="F118" s="24">
        <v>0</v>
      </c>
      <c r="G118" s="24">
        <v>64.87</v>
      </c>
      <c r="H118" s="24">
        <f aca="true" t="shared" si="5" ref="H118:H124">TRUNC(F118*G118,2)</f>
        <v>0</v>
      </c>
    </row>
    <row r="119" spans="1:8" ht="24" customHeight="1">
      <c r="A119" s="20">
        <v>40316</v>
      </c>
      <c r="B119" s="21" t="s">
        <v>107</v>
      </c>
      <c r="C119" s="22"/>
      <c r="D119" s="23"/>
      <c r="E119" s="22" t="s">
        <v>108</v>
      </c>
      <c r="F119" s="24">
        <v>0</v>
      </c>
      <c r="G119" s="24">
        <v>73.55</v>
      </c>
      <c r="H119" s="24">
        <f t="shared" si="5"/>
        <v>0</v>
      </c>
    </row>
    <row r="120" spans="1:8" ht="24" customHeight="1">
      <c r="A120" s="20">
        <v>40358</v>
      </c>
      <c r="B120" s="21" t="s">
        <v>113</v>
      </c>
      <c r="C120" s="22"/>
      <c r="D120" s="23"/>
      <c r="E120" s="22" t="s">
        <v>11</v>
      </c>
      <c r="F120" s="24">
        <v>0</v>
      </c>
      <c r="G120" s="24">
        <v>631.86</v>
      </c>
      <c r="H120" s="24">
        <f t="shared" si="5"/>
        <v>0</v>
      </c>
    </row>
    <row r="121" spans="1:8" ht="24" customHeight="1">
      <c r="A121" s="20">
        <v>40376</v>
      </c>
      <c r="B121" s="21" t="s">
        <v>114</v>
      </c>
      <c r="C121" s="22"/>
      <c r="D121" s="23"/>
      <c r="E121" s="22" t="s">
        <v>111</v>
      </c>
      <c r="F121" s="24">
        <v>0</v>
      </c>
      <c r="G121" s="24">
        <v>9.72</v>
      </c>
      <c r="H121" s="24">
        <f t="shared" si="5"/>
        <v>0</v>
      </c>
    </row>
    <row r="122" spans="1:10" s="45" customFormat="1" ht="24" customHeight="1">
      <c r="A122" s="20">
        <v>41360</v>
      </c>
      <c r="B122" s="21" t="s">
        <v>115</v>
      </c>
      <c r="C122" s="22"/>
      <c r="D122" s="23"/>
      <c r="E122" s="22" t="s">
        <v>15</v>
      </c>
      <c r="F122" s="24">
        <v>0</v>
      </c>
      <c r="G122" s="24">
        <v>3016.56</v>
      </c>
      <c r="H122" s="24">
        <f t="shared" si="5"/>
        <v>0</v>
      </c>
      <c r="J122" s="46"/>
    </row>
    <row r="123" spans="1:10" s="45" customFormat="1" ht="24" customHeight="1">
      <c r="A123" s="20">
        <v>100849</v>
      </c>
      <c r="B123" s="21" t="s">
        <v>116</v>
      </c>
      <c r="C123" s="22"/>
      <c r="D123" s="23"/>
      <c r="E123" s="22" t="s">
        <v>15</v>
      </c>
      <c r="F123" s="24">
        <v>0</v>
      </c>
      <c r="G123" s="24">
        <v>254.12</v>
      </c>
      <c r="H123" s="24">
        <f t="shared" si="5"/>
        <v>0</v>
      </c>
      <c r="J123" s="46"/>
    </row>
    <row r="124" spans="1:10" s="45" customFormat="1" ht="24" customHeight="1">
      <c r="A124" s="20">
        <v>40972</v>
      </c>
      <c r="B124" s="21" t="s">
        <v>117</v>
      </c>
      <c r="C124" s="22"/>
      <c r="D124" s="23"/>
      <c r="E124" s="22" t="s">
        <v>118</v>
      </c>
      <c r="F124" s="24">
        <v>0</v>
      </c>
      <c r="G124" s="24">
        <f>H122</f>
        <v>0</v>
      </c>
      <c r="H124" s="24">
        <f t="shared" si="5"/>
        <v>0</v>
      </c>
      <c r="J124" s="46"/>
    </row>
    <row r="125" spans="1:10" s="45" customFormat="1" ht="24" customHeight="1">
      <c r="A125" s="20"/>
      <c r="B125" s="21"/>
      <c r="C125" s="22"/>
      <c r="D125" s="23"/>
      <c r="E125" s="22"/>
      <c r="F125" s="24"/>
      <c r="G125" s="24"/>
      <c r="H125" s="24"/>
      <c r="J125" s="46"/>
    </row>
    <row r="126" spans="1:10" s="45" customFormat="1" ht="24" customHeight="1">
      <c r="A126" s="20"/>
      <c r="B126" s="21"/>
      <c r="C126" s="22"/>
      <c r="D126" s="23"/>
      <c r="E126" s="22"/>
      <c r="F126" s="24"/>
      <c r="G126" s="24"/>
      <c r="H126" s="24"/>
      <c r="J126" s="46"/>
    </row>
    <row r="127" spans="1:10" s="45" customFormat="1" ht="24" customHeight="1">
      <c r="A127" s="20"/>
      <c r="B127" s="21"/>
      <c r="C127" s="22"/>
      <c r="D127" s="23"/>
      <c r="E127" s="22"/>
      <c r="F127" s="24"/>
      <c r="G127" s="24"/>
      <c r="H127" s="24"/>
      <c r="J127" s="46"/>
    </row>
    <row r="128" spans="1:10" s="45" customFormat="1" ht="24" customHeight="1">
      <c r="A128" s="20"/>
      <c r="B128" s="21"/>
      <c r="C128" s="22"/>
      <c r="D128" s="23"/>
      <c r="E128" s="22"/>
      <c r="F128" s="24"/>
      <c r="G128" s="24"/>
      <c r="H128" s="24"/>
      <c r="J128" s="46"/>
    </row>
    <row r="129" spans="1:8" ht="24" customHeight="1">
      <c r="A129" s="20"/>
      <c r="B129" s="21"/>
      <c r="C129" s="22"/>
      <c r="D129" s="23"/>
      <c r="E129" s="22"/>
      <c r="F129" s="62"/>
      <c r="G129" s="62"/>
      <c r="H129" s="62"/>
    </row>
    <row r="130" spans="1:8" ht="24" customHeight="1">
      <c r="A130" s="49"/>
      <c r="B130" s="272" t="s">
        <v>119</v>
      </c>
      <c r="C130" s="272"/>
      <c r="D130" s="272"/>
      <c r="E130" s="272"/>
      <c r="F130" s="272"/>
      <c r="G130" s="272"/>
      <c r="H130" s="63">
        <f>SUM(H5:H124)</f>
        <v>2127780.43</v>
      </c>
    </row>
    <row r="131" spans="1:17" s="27" customFormat="1" ht="11.25" customHeight="1">
      <c r="A131" s="25" t="str">
        <f>A109</f>
        <v>Data Base : OUTUBRO / 2018</v>
      </c>
      <c r="B131" s="26"/>
      <c r="C131" s="273"/>
      <c r="D131" s="273"/>
      <c r="E131" s="273"/>
      <c r="F131" s="273"/>
      <c r="G131" s="273"/>
      <c r="H131" s="273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27" customFormat="1" ht="11.25" customHeight="1">
      <c r="A132" s="28"/>
      <c r="B132" s="29"/>
      <c r="C132" s="274"/>
      <c r="D132" s="274"/>
      <c r="E132" s="274"/>
      <c r="F132" s="274"/>
      <c r="G132" s="274"/>
      <c r="H132" s="274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33" customFormat="1" ht="20.25" customHeight="1">
      <c r="A133" s="30" t="s">
        <v>28</v>
      </c>
      <c r="B133" s="31"/>
      <c r="C133" s="275" t="s">
        <v>29</v>
      </c>
      <c r="D133" s="275"/>
      <c r="E133" s="275"/>
      <c r="F133" s="275"/>
      <c r="G133" s="275"/>
      <c r="H133" s="275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s="33" customFormat="1" ht="12.75" customHeight="1">
      <c r="A134" s="34" t="s">
        <v>30</v>
      </c>
      <c r="B134" s="35"/>
      <c r="C134" s="275"/>
      <c r="D134" s="275"/>
      <c r="E134" s="275"/>
      <c r="F134" s="275"/>
      <c r="G134" s="275"/>
      <c r="H134" s="275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1:17" s="33" customFormat="1" ht="12.75" customHeight="1">
      <c r="A135" s="34" t="s">
        <v>332</v>
      </c>
      <c r="B135" s="35"/>
      <c r="C135" s="275" t="s">
        <v>31</v>
      </c>
      <c r="D135" s="275"/>
      <c r="E135" s="275"/>
      <c r="F135" s="275"/>
      <c r="G135" s="275"/>
      <c r="H135" s="276" t="s">
        <v>32</v>
      </c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s="33" customFormat="1" ht="12.75" customHeight="1">
      <c r="A136" s="36" t="s">
        <v>33</v>
      </c>
      <c r="B136" s="37" t="s">
        <v>333</v>
      </c>
      <c r="C136" s="275"/>
      <c r="D136" s="275"/>
      <c r="E136" s="275"/>
      <c r="F136" s="275"/>
      <c r="G136" s="275"/>
      <c r="H136" s="276"/>
      <c r="I136" s="32"/>
      <c r="J136" s="32"/>
      <c r="K136" s="32"/>
      <c r="L136" s="32"/>
      <c r="M136" s="32"/>
      <c r="N136" s="32"/>
      <c r="O136" s="32"/>
      <c r="P136" s="32"/>
      <c r="Q136" s="32"/>
    </row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</sheetData>
  <sheetProtection selectLockedCells="1" selectUnlockedCells="1"/>
  <mergeCells count="73">
    <mergeCell ref="A1:A2"/>
    <mergeCell ref="B1:B2"/>
    <mergeCell ref="C1:C2"/>
    <mergeCell ref="D1:D2"/>
    <mergeCell ref="E1:E2"/>
    <mergeCell ref="F1:F2"/>
    <mergeCell ref="G1:H1"/>
    <mergeCell ref="C18:H18"/>
    <mergeCell ref="C19:H19"/>
    <mergeCell ref="C20:H21"/>
    <mergeCell ref="C22:G23"/>
    <mergeCell ref="H22:H23"/>
    <mergeCell ref="A24:A25"/>
    <mergeCell ref="B24:B25"/>
    <mergeCell ref="C24:C25"/>
    <mergeCell ref="D24:D25"/>
    <mergeCell ref="E24:E25"/>
    <mergeCell ref="F24:F25"/>
    <mergeCell ref="G24:H24"/>
    <mergeCell ref="C41:H41"/>
    <mergeCell ref="C42:H42"/>
    <mergeCell ref="C43:H44"/>
    <mergeCell ref="C45:G46"/>
    <mergeCell ref="H45:H46"/>
    <mergeCell ref="A47:A48"/>
    <mergeCell ref="B47:B48"/>
    <mergeCell ref="C47:C48"/>
    <mergeCell ref="D47:D48"/>
    <mergeCell ref="E47:E48"/>
    <mergeCell ref="F47:F48"/>
    <mergeCell ref="G47:H47"/>
    <mergeCell ref="C64:H64"/>
    <mergeCell ref="C65:H65"/>
    <mergeCell ref="C66:H67"/>
    <mergeCell ref="C68:G69"/>
    <mergeCell ref="H68:H69"/>
    <mergeCell ref="A70:A71"/>
    <mergeCell ref="B70:B71"/>
    <mergeCell ref="C70:C71"/>
    <mergeCell ref="D70:D71"/>
    <mergeCell ref="E70:E71"/>
    <mergeCell ref="F70:F71"/>
    <mergeCell ref="G70:H70"/>
    <mergeCell ref="C87:H87"/>
    <mergeCell ref="C88:H88"/>
    <mergeCell ref="C89:H90"/>
    <mergeCell ref="C91:G92"/>
    <mergeCell ref="H91:H92"/>
    <mergeCell ref="A93:A94"/>
    <mergeCell ref="B93:B94"/>
    <mergeCell ref="C93:C94"/>
    <mergeCell ref="D93:D94"/>
    <mergeCell ref="E93:E94"/>
    <mergeCell ref="F93:F94"/>
    <mergeCell ref="G93:H93"/>
    <mergeCell ref="C109:H109"/>
    <mergeCell ref="C110:H110"/>
    <mergeCell ref="C111:H112"/>
    <mergeCell ref="C113:G114"/>
    <mergeCell ref="H113:H114"/>
    <mergeCell ref="A115:A116"/>
    <mergeCell ref="B115:B116"/>
    <mergeCell ref="C115:C116"/>
    <mergeCell ref="D115:D116"/>
    <mergeCell ref="E115:E116"/>
    <mergeCell ref="F115:F116"/>
    <mergeCell ref="G115:H115"/>
    <mergeCell ref="B130:G130"/>
    <mergeCell ref="C131:H131"/>
    <mergeCell ref="C132:H132"/>
    <mergeCell ref="C133:H134"/>
    <mergeCell ref="C135:G136"/>
    <mergeCell ref="H135:H136"/>
  </mergeCells>
  <printOptions/>
  <pageMargins left="1.18125" right="1.18125" top="0.9840277777777777" bottom="0.7875" header="0.5118055555555555" footer="0.5118055555555555"/>
  <pageSetup horizontalDpi="300" verticalDpi="300" orientation="landscape" paperSize="9" scale="98" r:id="rId1"/>
  <rowBreaks count="2" manualBreakCount="2">
    <brk id="23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S21"/>
  <sheetViews>
    <sheetView view="pageBreakPreview" zoomScaleNormal="85" zoomScaleSheetLayoutView="100" zoomScalePageLayoutView="0" workbookViewId="0" topLeftCell="A1">
      <selection activeCell="G33" sqref="G33"/>
    </sheetView>
  </sheetViews>
  <sheetFormatPr defaultColWidth="9.00390625" defaultRowHeight="12.75"/>
  <cols>
    <col min="1" max="1" width="5.7109375" style="0" customWidth="1"/>
    <col min="2" max="2" width="2.7109375" style="0" customWidth="1"/>
    <col min="3" max="4" width="5.7109375" style="0" customWidth="1"/>
    <col min="5" max="5" width="2.7109375" style="0" customWidth="1"/>
    <col min="6" max="6" width="5.7109375" style="0" customWidth="1"/>
    <col min="7" max="7" width="8.57421875" style="0" customWidth="1"/>
    <col min="8" max="8" width="9.421875" style="0" customWidth="1"/>
    <col min="9" max="9" width="11.7109375" style="0" customWidth="1"/>
    <col min="10" max="12" width="4.7109375" style="0" customWidth="1"/>
    <col min="13" max="13" width="8.7109375" style="0" customWidth="1"/>
    <col min="14" max="14" width="6.7109375" style="0" customWidth="1"/>
    <col min="15" max="16" width="9.28125" style="0" customWidth="1"/>
    <col min="17" max="17" width="10.7109375" style="0" customWidth="1"/>
  </cols>
  <sheetData>
    <row r="1" spans="1:17" ht="12.75">
      <c r="A1" s="64" t="s">
        <v>120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9" ht="56.25" customHeight="1">
      <c r="A2" s="283" t="s">
        <v>121</v>
      </c>
      <c r="B2" s="283"/>
      <c r="C2" s="283"/>
      <c r="D2" s="284" t="s">
        <v>122</v>
      </c>
      <c r="E2" s="284"/>
      <c r="F2" s="284"/>
      <c r="G2" s="65" t="s">
        <v>123</v>
      </c>
      <c r="H2" s="65" t="s">
        <v>124</v>
      </c>
      <c r="I2" s="65" t="s">
        <v>125</v>
      </c>
      <c r="J2" s="283" t="s">
        <v>126</v>
      </c>
      <c r="K2" s="283"/>
      <c r="L2" s="283"/>
      <c r="M2" s="65" t="s">
        <v>127</v>
      </c>
      <c r="N2" s="66" t="s">
        <v>128</v>
      </c>
      <c r="O2" s="65" t="s">
        <v>129</v>
      </c>
      <c r="P2" s="66" t="s">
        <v>130</v>
      </c>
      <c r="Q2" s="66" t="s">
        <v>131</v>
      </c>
      <c r="R2" s="67"/>
      <c r="S2" s="68"/>
    </row>
    <row r="3" spans="1:17" ht="12.75">
      <c r="A3" s="69">
        <v>8</v>
      </c>
      <c r="B3" s="69" t="s">
        <v>132</v>
      </c>
      <c r="C3" s="70">
        <v>14</v>
      </c>
      <c r="D3" s="71">
        <v>0</v>
      </c>
      <c r="E3" s="71" t="s">
        <v>132</v>
      </c>
      <c r="F3" s="71">
        <v>0</v>
      </c>
      <c r="G3" s="72">
        <f aca="true" t="shared" si="0" ref="G3:G13">((A3-D3)*20+(C3-F3))/1000</f>
        <v>0.174</v>
      </c>
      <c r="H3" s="69"/>
      <c r="I3" s="73">
        <f aca="true" t="shared" si="1" ref="I3:I13">G3+H3</f>
        <v>0.174</v>
      </c>
      <c r="J3" s="285" t="s">
        <v>133</v>
      </c>
      <c r="K3" s="285"/>
      <c r="L3" s="285"/>
      <c r="M3" s="69">
        <f>ROUND((3.14*((0.62^2)-(0.5^2))),4)</f>
        <v>0.422</v>
      </c>
      <c r="N3" s="74">
        <v>27</v>
      </c>
      <c r="O3" s="69">
        <f aca="true" t="shared" si="2" ref="O3:O13">M3*N3</f>
        <v>11.394</v>
      </c>
      <c r="P3" s="72">
        <f aca="true" t="shared" si="3" ref="P3:P13">I3*O3</f>
        <v>1.982556</v>
      </c>
      <c r="Q3" s="69" t="s">
        <v>134</v>
      </c>
    </row>
    <row r="4" spans="1:17" ht="12.75">
      <c r="A4" s="75">
        <v>47</v>
      </c>
      <c r="B4" s="75" t="s">
        <v>132</v>
      </c>
      <c r="C4" s="76">
        <v>17</v>
      </c>
      <c r="D4" s="77">
        <v>0</v>
      </c>
      <c r="E4" s="77" t="s">
        <v>132</v>
      </c>
      <c r="F4" s="77">
        <v>0</v>
      </c>
      <c r="G4" s="78">
        <f t="shared" si="0"/>
        <v>0.957</v>
      </c>
      <c r="H4" s="75"/>
      <c r="I4" s="79">
        <f t="shared" si="1"/>
        <v>0.957</v>
      </c>
      <c r="J4" s="280" t="s">
        <v>135</v>
      </c>
      <c r="K4" s="280"/>
      <c r="L4" s="280"/>
      <c r="M4" s="75">
        <f>ROUND((3.14*((0.26^2)-(0.2^2))),4)</f>
        <v>0.0867</v>
      </c>
      <c r="N4" s="80">
        <v>8</v>
      </c>
      <c r="O4" s="75">
        <f t="shared" si="2"/>
        <v>0.6936</v>
      </c>
      <c r="P4" s="78">
        <f t="shared" si="3"/>
        <v>0.6637752</v>
      </c>
      <c r="Q4" s="75" t="s">
        <v>134</v>
      </c>
    </row>
    <row r="5" spans="1:17" ht="12.75">
      <c r="A5" s="81">
        <v>62</v>
      </c>
      <c r="B5" s="75" t="s">
        <v>132</v>
      </c>
      <c r="C5" s="82">
        <v>7</v>
      </c>
      <c r="D5" s="83">
        <v>0</v>
      </c>
      <c r="E5" s="77" t="s">
        <v>132</v>
      </c>
      <c r="F5" s="83">
        <v>0</v>
      </c>
      <c r="G5" s="84">
        <f t="shared" si="0"/>
        <v>1.247</v>
      </c>
      <c r="H5" s="81"/>
      <c r="I5" s="79">
        <f t="shared" si="1"/>
        <v>1.247</v>
      </c>
      <c r="J5" s="280" t="s">
        <v>133</v>
      </c>
      <c r="K5" s="280"/>
      <c r="L5" s="280"/>
      <c r="M5" s="75">
        <f>ROUND((3.14*((0.62^2)-(0.5^2))),4)</f>
        <v>0.422</v>
      </c>
      <c r="N5" s="85">
        <v>6.5</v>
      </c>
      <c r="O5" s="75">
        <f t="shared" si="2"/>
        <v>2.743</v>
      </c>
      <c r="P5" s="78">
        <f t="shared" si="3"/>
        <v>3.4205210000000004</v>
      </c>
      <c r="Q5" s="75" t="s">
        <v>134</v>
      </c>
    </row>
    <row r="6" spans="1:17" ht="12.75">
      <c r="A6" s="81">
        <v>62</v>
      </c>
      <c r="B6" s="75" t="s">
        <v>132</v>
      </c>
      <c r="C6" s="82">
        <v>8</v>
      </c>
      <c r="D6" s="83">
        <v>0</v>
      </c>
      <c r="E6" s="77" t="s">
        <v>132</v>
      </c>
      <c r="F6" s="83">
        <v>0</v>
      </c>
      <c r="G6" s="84">
        <f t="shared" si="0"/>
        <v>1.248</v>
      </c>
      <c r="H6" s="81"/>
      <c r="I6" s="79">
        <f t="shared" si="1"/>
        <v>1.248</v>
      </c>
      <c r="J6" s="280" t="s">
        <v>136</v>
      </c>
      <c r="K6" s="280"/>
      <c r="L6" s="280"/>
      <c r="M6" s="75">
        <f>ROUND((3.14*((0.38^2)-(0.3^2))),4)</f>
        <v>0.1708</v>
      </c>
      <c r="N6" s="85">
        <v>6.5</v>
      </c>
      <c r="O6" s="75">
        <f t="shared" si="2"/>
        <v>1.1102</v>
      </c>
      <c r="P6" s="78">
        <f t="shared" si="3"/>
        <v>1.3855296000000001</v>
      </c>
      <c r="Q6" s="75" t="s">
        <v>134</v>
      </c>
    </row>
    <row r="7" spans="1:17" ht="12.75">
      <c r="A7" s="81">
        <v>122</v>
      </c>
      <c r="B7" s="75" t="s">
        <v>132</v>
      </c>
      <c r="C7" s="82">
        <v>7</v>
      </c>
      <c r="D7" s="83">
        <v>0</v>
      </c>
      <c r="E7" s="77" t="s">
        <v>132</v>
      </c>
      <c r="F7" s="83">
        <v>0</v>
      </c>
      <c r="G7" s="84">
        <f t="shared" si="0"/>
        <v>2.447</v>
      </c>
      <c r="H7" s="81"/>
      <c r="I7" s="79">
        <f t="shared" si="1"/>
        <v>2.447</v>
      </c>
      <c r="J7" s="280" t="s">
        <v>137</v>
      </c>
      <c r="K7" s="280"/>
      <c r="L7" s="280"/>
      <c r="M7" s="75">
        <f>ROUND((3.14*((0.38^2)-(0.3^2))),4)</f>
        <v>0.1708</v>
      </c>
      <c r="N7" s="85">
        <v>6</v>
      </c>
      <c r="O7" s="75">
        <f t="shared" si="2"/>
        <v>1.0248</v>
      </c>
      <c r="P7" s="78">
        <f t="shared" si="3"/>
        <v>2.5076856</v>
      </c>
      <c r="Q7" s="75" t="s">
        <v>134</v>
      </c>
    </row>
    <row r="8" spans="1:17" ht="12.75">
      <c r="A8" s="81">
        <v>154</v>
      </c>
      <c r="B8" s="75" t="s">
        <v>132</v>
      </c>
      <c r="C8" s="82">
        <v>5</v>
      </c>
      <c r="D8" s="83">
        <v>0</v>
      </c>
      <c r="E8" s="77" t="s">
        <v>132</v>
      </c>
      <c r="F8" s="83">
        <v>0</v>
      </c>
      <c r="G8" s="84">
        <f t="shared" si="0"/>
        <v>3.085</v>
      </c>
      <c r="H8" s="81"/>
      <c r="I8" s="79">
        <f t="shared" si="1"/>
        <v>3.085</v>
      </c>
      <c r="J8" s="280" t="s">
        <v>138</v>
      </c>
      <c r="K8" s="280"/>
      <c r="L8" s="280"/>
      <c r="M8" s="81">
        <f>ROUND((3.14*((0.9^2)-(0.8^2))),4)</f>
        <v>0.5338</v>
      </c>
      <c r="N8" s="85">
        <v>8</v>
      </c>
      <c r="O8" s="75">
        <f t="shared" si="2"/>
        <v>4.2704</v>
      </c>
      <c r="P8" s="78">
        <f t="shared" si="3"/>
        <v>13.174184</v>
      </c>
      <c r="Q8" s="75" t="s">
        <v>134</v>
      </c>
    </row>
    <row r="9" spans="1:17" ht="12.75">
      <c r="A9" s="81">
        <v>179</v>
      </c>
      <c r="B9" s="75" t="s">
        <v>132</v>
      </c>
      <c r="C9" s="82">
        <v>19</v>
      </c>
      <c r="D9" s="83">
        <v>0</v>
      </c>
      <c r="E9" s="77" t="s">
        <v>132</v>
      </c>
      <c r="F9" s="83">
        <v>0</v>
      </c>
      <c r="G9" s="84">
        <f t="shared" si="0"/>
        <v>3.599</v>
      </c>
      <c r="H9" s="81"/>
      <c r="I9" s="79">
        <f t="shared" si="1"/>
        <v>3.599</v>
      </c>
      <c r="J9" s="280" t="s">
        <v>137</v>
      </c>
      <c r="K9" s="280"/>
      <c r="L9" s="280"/>
      <c r="M9" s="75">
        <f>ROUND((3.14*((0.2^2)-(0.15^2))),4)</f>
        <v>0.055</v>
      </c>
      <c r="N9" s="85">
        <v>7.4</v>
      </c>
      <c r="O9" s="75">
        <f t="shared" si="2"/>
        <v>0.40700000000000003</v>
      </c>
      <c r="P9" s="78">
        <f t="shared" si="3"/>
        <v>1.4647930000000002</v>
      </c>
      <c r="Q9" s="75" t="s">
        <v>134</v>
      </c>
    </row>
    <row r="10" spans="1:17" ht="12.75">
      <c r="A10" s="81">
        <v>220</v>
      </c>
      <c r="B10" s="75" t="s">
        <v>132</v>
      </c>
      <c r="C10" s="82">
        <v>15</v>
      </c>
      <c r="D10" s="83">
        <v>0</v>
      </c>
      <c r="E10" s="77" t="s">
        <v>132</v>
      </c>
      <c r="F10" s="83">
        <v>0</v>
      </c>
      <c r="G10" s="84">
        <f t="shared" si="0"/>
        <v>4.415</v>
      </c>
      <c r="H10" s="81"/>
      <c r="I10" s="79">
        <f t="shared" si="1"/>
        <v>4.415</v>
      </c>
      <c r="J10" s="280" t="s">
        <v>136</v>
      </c>
      <c r="K10" s="280"/>
      <c r="L10" s="280"/>
      <c r="M10" s="75">
        <f>ROUND((3.14*((0.38^2)-(0.3^2))),4)</f>
        <v>0.1708</v>
      </c>
      <c r="N10" s="85">
        <v>8</v>
      </c>
      <c r="O10" s="75">
        <f t="shared" si="2"/>
        <v>1.3664</v>
      </c>
      <c r="P10" s="78">
        <f t="shared" si="3"/>
        <v>6.032656</v>
      </c>
      <c r="Q10" s="75" t="s">
        <v>134</v>
      </c>
    </row>
    <row r="11" spans="1:17" ht="12.75">
      <c r="A11" s="81">
        <v>266</v>
      </c>
      <c r="B11" s="75" t="s">
        <v>132</v>
      </c>
      <c r="C11" s="82">
        <v>2</v>
      </c>
      <c r="D11" s="83">
        <v>0</v>
      </c>
      <c r="E11" s="77" t="s">
        <v>132</v>
      </c>
      <c r="F11" s="83">
        <v>0</v>
      </c>
      <c r="G11" s="84">
        <f t="shared" si="0"/>
        <v>5.322</v>
      </c>
      <c r="H11" s="81"/>
      <c r="I11" s="79">
        <f t="shared" si="1"/>
        <v>5.322</v>
      </c>
      <c r="J11" s="280" t="s">
        <v>136</v>
      </c>
      <c r="K11" s="280"/>
      <c r="L11" s="280"/>
      <c r="M11" s="75">
        <f>ROUND((3.14*((0.38^2)-(0.3^2))),4)</f>
        <v>0.1708</v>
      </c>
      <c r="N11" s="85">
        <v>9</v>
      </c>
      <c r="O11" s="75">
        <f t="shared" si="2"/>
        <v>1.5372000000000001</v>
      </c>
      <c r="P11" s="78">
        <f t="shared" si="3"/>
        <v>8.1809784</v>
      </c>
      <c r="Q11" s="75" t="s">
        <v>134</v>
      </c>
    </row>
    <row r="12" spans="1:17" ht="12.75">
      <c r="A12" s="81">
        <v>367</v>
      </c>
      <c r="B12" s="75" t="s">
        <v>132</v>
      </c>
      <c r="C12" s="82">
        <v>13</v>
      </c>
      <c r="D12" s="83">
        <v>0</v>
      </c>
      <c r="E12" s="77" t="s">
        <v>132</v>
      </c>
      <c r="F12" s="83">
        <v>0</v>
      </c>
      <c r="G12" s="84">
        <f t="shared" si="0"/>
        <v>7.353</v>
      </c>
      <c r="H12" s="81"/>
      <c r="I12" s="79">
        <f t="shared" si="1"/>
        <v>7.353</v>
      </c>
      <c r="J12" s="280" t="s">
        <v>133</v>
      </c>
      <c r="K12" s="280"/>
      <c r="L12" s="280"/>
      <c r="M12" s="81">
        <f>ROUND((3.14*((0.62^2)-(0.5^2))),4)</f>
        <v>0.422</v>
      </c>
      <c r="N12" s="85">
        <v>11</v>
      </c>
      <c r="O12" s="75">
        <f t="shared" si="2"/>
        <v>4.6419999999999995</v>
      </c>
      <c r="P12" s="78">
        <f t="shared" si="3"/>
        <v>34.132625999999995</v>
      </c>
      <c r="Q12" s="75" t="s">
        <v>134</v>
      </c>
    </row>
    <row r="13" spans="1:17" ht="12.75">
      <c r="A13" s="86">
        <v>367</v>
      </c>
      <c r="B13" s="86" t="s">
        <v>132</v>
      </c>
      <c r="C13" s="87">
        <v>15</v>
      </c>
      <c r="D13" s="88">
        <v>0</v>
      </c>
      <c r="E13" s="88" t="s">
        <v>132</v>
      </c>
      <c r="F13" s="88">
        <v>0</v>
      </c>
      <c r="G13" s="89">
        <f t="shared" si="0"/>
        <v>7.355</v>
      </c>
      <c r="H13" s="86"/>
      <c r="I13" s="90">
        <f t="shared" si="1"/>
        <v>7.355</v>
      </c>
      <c r="J13" s="281" t="s">
        <v>133</v>
      </c>
      <c r="K13" s="281"/>
      <c r="L13" s="281"/>
      <c r="M13" s="86">
        <f>ROUND((3.14*((0.62^2)-(0.5^2))),4)</f>
        <v>0.422</v>
      </c>
      <c r="N13" s="91">
        <v>13</v>
      </c>
      <c r="O13" s="86">
        <f t="shared" si="2"/>
        <v>5.486</v>
      </c>
      <c r="P13" s="89">
        <f t="shared" si="3"/>
        <v>40.34953</v>
      </c>
      <c r="Q13" s="86" t="s">
        <v>134</v>
      </c>
    </row>
    <row r="14" spans="7:16" ht="12.75">
      <c r="G14">
        <f>SUM(G3:G13)</f>
        <v>37.202</v>
      </c>
      <c r="I14" s="92">
        <f>SUM(I3:I13)</f>
        <v>37.202</v>
      </c>
      <c r="N14" s="93">
        <f>SUM(N3:N13)</f>
        <v>110.4</v>
      </c>
      <c r="O14" s="94">
        <f>SUM(O3:O13)</f>
        <v>34.6746</v>
      </c>
      <c r="P14" s="95">
        <f>SUM(P3:P13)</f>
        <v>113.2948348</v>
      </c>
    </row>
    <row r="15" spans="15:16" ht="12.75">
      <c r="O15" s="96"/>
      <c r="P15" s="96"/>
    </row>
    <row r="16" spans="15:16" ht="12.75">
      <c r="O16" s="64" t="s">
        <v>139</v>
      </c>
      <c r="P16" s="95">
        <f>P14/O14</f>
        <v>3.2673725089835215</v>
      </c>
    </row>
    <row r="17" ht="12.75">
      <c r="P17">
        <v>17.6</v>
      </c>
    </row>
    <row r="18" spans="6:16" ht="12.75">
      <c r="F18" s="97" t="s">
        <v>140</v>
      </c>
      <c r="G18" s="98"/>
      <c r="H18" s="98"/>
      <c r="I18" s="98"/>
      <c r="J18" s="98"/>
      <c r="K18" s="98"/>
      <c r="L18" s="98"/>
      <c r="P18" s="99">
        <f>P16+P17</f>
        <v>20.86737250898352</v>
      </c>
    </row>
    <row r="19" spans="6:15" ht="12.75">
      <c r="F19" s="97"/>
      <c r="G19" s="98"/>
      <c r="H19" s="98"/>
      <c r="I19" s="98"/>
      <c r="J19" s="98"/>
      <c r="K19" s="98"/>
      <c r="L19" s="98"/>
      <c r="O19">
        <f>O14*2.5</f>
        <v>86.6865</v>
      </c>
    </row>
    <row r="21" spans="11:12" ht="12.75">
      <c r="K21" s="282">
        <f>17.6+3.27</f>
        <v>20.87</v>
      </c>
      <c r="L21" s="282"/>
    </row>
  </sheetData>
  <sheetProtection selectLockedCells="1" selectUnlockedCells="1"/>
  <autoFilter ref="H1:H13"/>
  <mergeCells count="15">
    <mergeCell ref="A2:C2"/>
    <mergeCell ref="D2:F2"/>
    <mergeCell ref="J2:L2"/>
    <mergeCell ref="J3:L3"/>
    <mergeCell ref="J4:L4"/>
    <mergeCell ref="J5:L5"/>
    <mergeCell ref="J12:L12"/>
    <mergeCell ref="J13:L13"/>
    <mergeCell ref="K21:L21"/>
    <mergeCell ref="J6:L6"/>
    <mergeCell ref="J7:L7"/>
    <mergeCell ref="J8:L8"/>
    <mergeCell ref="J9:L9"/>
    <mergeCell ref="J10:L10"/>
    <mergeCell ref="J11:L1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6"/>
  <sheetViews>
    <sheetView view="pageBreakPreview" zoomScaleNormal="70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12.7109375" style="64" customWidth="1"/>
    <col min="2" max="2" width="9.140625" style="64" customWidth="1"/>
    <col min="3" max="3" width="13.8515625" style="64" customWidth="1"/>
    <col min="4" max="4" width="10.28125" style="64" customWidth="1"/>
    <col min="5" max="5" width="12.00390625" style="64" customWidth="1"/>
    <col min="6" max="6" width="12.7109375" style="64" customWidth="1"/>
    <col min="7" max="7" width="12.00390625" style="64" customWidth="1"/>
    <col min="8" max="8" width="9.28125" style="64" customWidth="1"/>
    <col min="9" max="9" width="9.140625" style="64" customWidth="1"/>
    <col min="10" max="10" width="9.28125" style="64" customWidth="1"/>
    <col min="11" max="11" width="11.57421875" style="64" customWidth="1"/>
    <col min="12" max="12" width="9.28125" style="64" customWidth="1"/>
    <col min="13" max="13" width="9.140625" style="64" customWidth="1"/>
    <col min="14" max="14" width="11.140625" style="64" customWidth="1"/>
    <col min="15" max="16384" width="9.140625" style="64" customWidth="1"/>
  </cols>
  <sheetData>
    <row r="1" spans="2:15" ht="12.75">
      <c r="B1" s="100" t="s">
        <v>141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ht="12.75">
      <c r="N2" s="101"/>
    </row>
    <row r="3" spans="2:15" ht="12.75">
      <c r="B3" s="102" t="s">
        <v>142</v>
      </c>
      <c r="C3" s="103"/>
      <c r="D3" s="103"/>
      <c r="E3" s="104"/>
      <c r="F3" s="105"/>
      <c r="G3" s="105"/>
      <c r="H3" s="105"/>
      <c r="I3" s="105"/>
      <c r="J3" s="105"/>
      <c r="K3" s="105"/>
      <c r="L3" s="105"/>
      <c r="M3" s="106"/>
      <c r="N3" s="107"/>
      <c r="O3" s="106"/>
    </row>
    <row r="4" spans="2:15" ht="15" customHeight="1">
      <c r="B4" s="103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6"/>
      <c r="N4" s="107"/>
      <c r="O4" s="106"/>
    </row>
    <row r="5" spans="2:15" ht="15" customHeight="1">
      <c r="B5" s="314" t="s">
        <v>143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</row>
    <row r="6" spans="2:15" ht="15" customHeight="1"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</row>
    <row r="7" spans="2:15" ht="15" customHeight="1">
      <c r="B7" s="105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6"/>
      <c r="N7" s="107"/>
      <c r="O7" s="106"/>
    </row>
    <row r="8" spans="2:15" ht="15" customHeight="1">
      <c r="B8" s="314" t="s">
        <v>144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</row>
    <row r="9" spans="2:15" ht="15" customHeight="1"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</row>
    <row r="10" spans="2:15" ht="15" customHeight="1">
      <c r="B10" s="105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6"/>
      <c r="N10" s="107"/>
      <c r="O10" s="106"/>
    </row>
    <row r="11" spans="2:15" ht="15" customHeight="1">
      <c r="B11" s="314" t="s">
        <v>145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</row>
    <row r="12" spans="2:15" ht="15" customHeight="1"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</row>
    <row r="13" spans="2:15" ht="15" customHeight="1"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</row>
    <row r="14" spans="2:15" ht="15" customHeight="1"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</row>
    <row r="15" spans="2:15" ht="12.75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10"/>
      <c r="N15" s="111"/>
      <c r="O15" s="110"/>
    </row>
    <row r="16" spans="2:15" ht="12.75">
      <c r="B16" s="112" t="s">
        <v>146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10"/>
      <c r="N16" s="111"/>
      <c r="O16" s="110"/>
    </row>
    <row r="17" spans="2:15" ht="12.7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10"/>
      <c r="N17" s="111"/>
      <c r="O17" s="110"/>
    </row>
    <row r="18" spans="2:15" ht="12.75" customHeight="1">
      <c r="B18" s="113"/>
      <c r="C18" s="114"/>
      <c r="D18" s="115" t="s">
        <v>147</v>
      </c>
      <c r="E18" s="307" t="s">
        <v>148</v>
      </c>
      <c r="F18" s="307"/>
      <c r="G18" s="114" t="s">
        <v>149</v>
      </c>
      <c r="H18" s="307" t="s">
        <v>150</v>
      </c>
      <c r="I18" s="307"/>
      <c r="J18" s="307"/>
      <c r="K18" s="114" t="s">
        <v>149</v>
      </c>
      <c r="L18" s="116" t="s">
        <v>151</v>
      </c>
      <c r="M18" s="117"/>
      <c r="N18" s="114"/>
      <c r="O18" s="114"/>
    </row>
    <row r="19" spans="2:15" ht="12.75">
      <c r="B19" s="113"/>
      <c r="C19" s="114"/>
      <c r="D19" s="115"/>
      <c r="E19" s="114"/>
      <c r="F19" s="114"/>
      <c r="G19" s="114"/>
      <c r="H19" s="114"/>
      <c r="I19" s="114"/>
      <c r="J19" s="114"/>
      <c r="K19" s="114"/>
      <c r="L19" s="116"/>
      <c r="M19" s="117"/>
      <c r="N19" s="114"/>
      <c r="O19" s="114"/>
    </row>
    <row r="20" spans="2:16" s="118" customFormat="1" ht="15" customHeight="1">
      <c r="B20" s="119"/>
      <c r="C20" s="120" t="s">
        <v>152</v>
      </c>
      <c r="D20" s="121" t="s">
        <v>153</v>
      </c>
      <c r="E20" s="305">
        <v>27</v>
      </c>
      <c r="F20" s="305"/>
      <c r="G20" s="123" t="s">
        <v>149</v>
      </c>
      <c r="H20" s="124">
        <f>ROUND((1+0.12+0.12),2)</f>
        <v>1.24</v>
      </c>
      <c r="I20" s="123" t="s">
        <v>132</v>
      </c>
      <c r="J20" s="125">
        <v>0.6</v>
      </c>
      <c r="K20" s="123" t="s">
        <v>149</v>
      </c>
      <c r="L20" s="122">
        <v>1</v>
      </c>
      <c r="M20" s="123" t="s">
        <v>154</v>
      </c>
      <c r="N20" s="306">
        <f>ROUND(E20*(H20+J20)*L20,2)</f>
        <v>49.68</v>
      </c>
      <c r="O20" s="306"/>
      <c r="P20" s="118" t="s">
        <v>155</v>
      </c>
    </row>
    <row r="21" spans="2:15" ht="12.75">
      <c r="B21" s="113"/>
      <c r="C21" s="127" t="s">
        <v>156</v>
      </c>
      <c r="D21" s="128"/>
      <c r="E21" s="128"/>
      <c r="F21" s="114"/>
      <c r="G21" s="129"/>
      <c r="H21" s="114"/>
      <c r="I21" s="129"/>
      <c r="J21" s="130"/>
      <c r="K21" s="131"/>
      <c r="L21" s="114"/>
      <c r="M21" s="132"/>
      <c r="N21" s="114"/>
      <c r="O21" s="129"/>
    </row>
    <row r="22" spans="2:15" ht="12.75">
      <c r="B22" s="113"/>
      <c r="C22" s="133"/>
      <c r="D22" s="128"/>
      <c r="E22" s="128"/>
      <c r="F22" s="114"/>
      <c r="G22" s="129"/>
      <c r="H22" s="114"/>
      <c r="I22" s="129"/>
      <c r="J22" s="130"/>
      <c r="K22" s="131"/>
      <c r="L22" s="114"/>
      <c r="M22" s="132"/>
      <c r="N22" s="114"/>
      <c r="O22" s="129"/>
    </row>
    <row r="23" spans="3:16" s="118" customFormat="1" ht="12.75">
      <c r="C23" s="120" t="s">
        <v>157</v>
      </c>
      <c r="D23" s="121" t="s">
        <v>158</v>
      </c>
      <c r="E23" s="305">
        <v>8</v>
      </c>
      <c r="F23" s="305"/>
      <c r="G23" s="123" t="s">
        <v>149</v>
      </c>
      <c r="H23" s="124">
        <f>ROUND((0.4+0.06+0.06),2)</f>
        <v>0.52</v>
      </c>
      <c r="I23" s="123" t="s">
        <v>132</v>
      </c>
      <c r="J23" s="125">
        <v>0.6</v>
      </c>
      <c r="K23" s="123" t="s">
        <v>149</v>
      </c>
      <c r="L23" s="122">
        <v>1.3</v>
      </c>
      <c r="M23" s="123" t="s">
        <v>154</v>
      </c>
      <c r="N23" s="306">
        <f>ROUND(E23*(H23+J23)*L23,2)</f>
        <v>11.65</v>
      </c>
      <c r="O23" s="306"/>
      <c r="P23" s="118" t="s">
        <v>155</v>
      </c>
    </row>
    <row r="24" spans="3:15" ht="12.75">
      <c r="C24" s="127" t="s">
        <v>159</v>
      </c>
      <c r="D24" s="128"/>
      <c r="E24" s="128"/>
      <c r="F24" s="114"/>
      <c r="G24" s="129"/>
      <c r="H24" s="114"/>
      <c r="I24" s="129"/>
      <c r="J24" s="130"/>
      <c r="K24" s="131"/>
      <c r="L24" s="114"/>
      <c r="M24" s="132"/>
      <c r="N24" s="114"/>
      <c r="O24" s="129"/>
    </row>
    <row r="25" spans="3:15" ht="12.75">
      <c r="C25" s="114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4"/>
      <c r="O25" s="117"/>
    </row>
    <row r="26" spans="2:15" ht="15" customHeight="1">
      <c r="B26" s="113"/>
      <c r="C26" s="134" t="s">
        <v>160</v>
      </c>
      <c r="D26" s="115" t="s">
        <v>161</v>
      </c>
      <c r="E26" s="304">
        <v>6.5</v>
      </c>
      <c r="F26" s="304"/>
      <c r="G26" s="114" t="s">
        <v>149</v>
      </c>
      <c r="H26" s="131">
        <f>ROUND((1+0.12+0.12),2)</f>
        <v>1.24</v>
      </c>
      <c r="I26" s="114" t="s">
        <v>132</v>
      </c>
      <c r="J26" s="132">
        <v>0.6</v>
      </c>
      <c r="K26" s="114" t="s">
        <v>149</v>
      </c>
      <c r="L26" s="129">
        <v>1.2</v>
      </c>
      <c r="M26" s="114" t="s">
        <v>154</v>
      </c>
      <c r="N26" s="289">
        <f>ROUND(E26*(H26+J26)*L26,2)</f>
        <v>14.35</v>
      </c>
      <c r="O26" s="289"/>
    </row>
    <row r="27" spans="2:15" ht="12.75">
      <c r="B27" s="113"/>
      <c r="C27" s="133" t="s">
        <v>156</v>
      </c>
      <c r="D27" s="128"/>
      <c r="E27" s="128"/>
      <c r="F27" s="114"/>
      <c r="G27" s="129"/>
      <c r="H27" s="114"/>
      <c r="I27" s="129"/>
      <c r="J27" s="130"/>
      <c r="K27" s="131"/>
      <c r="L27" s="114"/>
      <c r="M27" s="132"/>
      <c r="N27" s="114"/>
      <c r="O27" s="129"/>
    </row>
    <row r="28" spans="2:15" ht="12.75">
      <c r="B28" s="113"/>
      <c r="C28" s="133"/>
      <c r="D28" s="128"/>
      <c r="E28" s="128"/>
      <c r="F28" s="114"/>
      <c r="G28" s="129"/>
      <c r="H28" s="114"/>
      <c r="I28" s="129"/>
      <c r="J28" s="130"/>
      <c r="K28" s="131"/>
      <c r="L28" s="114"/>
      <c r="M28" s="132"/>
      <c r="N28" s="114"/>
      <c r="O28" s="129"/>
    </row>
    <row r="29" spans="2:15" ht="15" customHeight="1">
      <c r="B29" s="113"/>
      <c r="C29" s="134" t="s">
        <v>162</v>
      </c>
      <c r="D29" s="115" t="s">
        <v>163</v>
      </c>
      <c r="E29" s="304">
        <v>6.5</v>
      </c>
      <c r="F29" s="304"/>
      <c r="G29" s="114" t="s">
        <v>149</v>
      </c>
      <c r="H29" s="131">
        <f>ROUND((0.6+0.08+0.08),2)</f>
        <v>0.76</v>
      </c>
      <c r="I29" s="114" t="s">
        <v>132</v>
      </c>
      <c r="J29" s="132">
        <v>0.6</v>
      </c>
      <c r="K29" s="114" t="s">
        <v>149</v>
      </c>
      <c r="L29" s="129">
        <v>1.2</v>
      </c>
      <c r="M29" s="114" t="s">
        <v>154</v>
      </c>
      <c r="N29" s="289">
        <f>ROUND(E29*(H29+J29)*L29,2)</f>
        <v>10.61</v>
      </c>
      <c r="O29" s="289"/>
    </row>
    <row r="30" spans="2:15" ht="12.75">
      <c r="B30" s="113"/>
      <c r="C30" s="133" t="s">
        <v>164</v>
      </c>
      <c r="D30" s="128"/>
      <c r="E30" s="128"/>
      <c r="F30" s="114"/>
      <c r="G30" s="129"/>
      <c r="H30" s="114"/>
      <c r="I30" s="129"/>
      <c r="J30" s="130"/>
      <c r="K30" s="131"/>
      <c r="L30" s="114"/>
      <c r="M30" s="132"/>
      <c r="N30" s="114"/>
      <c r="O30" s="129"/>
    </row>
    <row r="32" spans="2:16" s="118" customFormat="1" ht="15" customHeight="1">
      <c r="B32" s="119"/>
      <c r="C32" s="120" t="s">
        <v>165</v>
      </c>
      <c r="D32" s="121" t="s">
        <v>166</v>
      </c>
      <c r="E32" s="305">
        <v>6</v>
      </c>
      <c r="F32" s="305"/>
      <c r="G32" s="123" t="s">
        <v>149</v>
      </c>
      <c r="H32" s="124">
        <f>ROUND((0.3+0.05+0.05),2)</f>
        <v>0.4</v>
      </c>
      <c r="I32" s="123" t="s">
        <v>132</v>
      </c>
      <c r="J32" s="125">
        <v>0.6</v>
      </c>
      <c r="K32" s="123" t="s">
        <v>149</v>
      </c>
      <c r="L32" s="122">
        <v>1.2</v>
      </c>
      <c r="M32" s="123" t="s">
        <v>154</v>
      </c>
      <c r="N32" s="306">
        <f>ROUND(E32*(H32+J32)*L32,2)</f>
        <v>7.2</v>
      </c>
      <c r="O32" s="306"/>
      <c r="P32" s="118" t="s">
        <v>155</v>
      </c>
    </row>
    <row r="33" spans="2:15" ht="12.75">
      <c r="B33" s="113"/>
      <c r="C33" s="127" t="s">
        <v>167</v>
      </c>
      <c r="D33" s="128"/>
      <c r="E33" s="128"/>
      <c r="F33" s="114"/>
      <c r="G33" s="129"/>
      <c r="H33" s="114"/>
      <c r="I33" s="129"/>
      <c r="J33" s="130"/>
      <c r="K33" s="131"/>
      <c r="L33" s="114"/>
      <c r="M33" s="132"/>
      <c r="N33" s="114"/>
      <c r="O33" s="129"/>
    </row>
    <row r="34" ht="12.75">
      <c r="C34" s="118"/>
    </row>
    <row r="35" spans="2:16" s="118" customFormat="1" ht="15" customHeight="1">
      <c r="B35" s="119"/>
      <c r="C35" s="120" t="s">
        <v>168</v>
      </c>
      <c r="D35" s="121" t="s">
        <v>169</v>
      </c>
      <c r="E35" s="305">
        <v>8</v>
      </c>
      <c r="F35" s="305"/>
      <c r="G35" s="123" t="s">
        <v>149</v>
      </c>
      <c r="H35" s="124">
        <f>ROUND((0.8+0.1+0.1),2)</f>
        <v>1</v>
      </c>
      <c r="I35" s="123" t="s">
        <v>132</v>
      </c>
      <c r="J35" s="125">
        <v>0.6</v>
      </c>
      <c r="K35" s="123" t="s">
        <v>149</v>
      </c>
      <c r="L35" s="122">
        <v>1.2</v>
      </c>
      <c r="M35" s="123" t="s">
        <v>154</v>
      </c>
      <c r="N35" s="306">
        <f>ROUND(E35*(H35+J35)*L35,2)</f>
        <v>15.36</v>
      </c>
      <c r="O35" s="306"/>
      <c r="P35" s="118" t="s">
        <v>155</v>
      </c>
    </row>
    <row r="36" spans="2:15" ht="12.75">
      <c r="B36" s="113"/>
      <c r="C36" s="127" t="s">
        <v>170</v>
      </c>
      <c r="D36" s="128"/>
      <c r="E36" s="128"/>
      <c r="F36" s="114"/>
      <c r="G36" s="129"/>
      <c r="H36" s="114"/>
      <c r="I36" s="129"/>
      <c r="J36" s="130"/>
      <c r="K36" s="131"/>
      <c r="L36" s="114"/>
      <c r="M36" s="132"/>
      <c r="N36" s="114"/>
      <c r="O36" s="129"/>
    </row>
    <row r="38" spans="2:15" ht="15" customHeight="1">
      <c r="B38" s="113"/>
      <c r="C38" s="134" t="s">
        <v>171</v>
      </c>
      <c r="D38" s="115" t="s">
        <v>172</v>
      </c>
      <c r="E38" s="304">
        <v>7.4</v>
      </c>
      <c r="F38" s="304"/>
      <c r="G38" s="114" t="s">
        <v>149</v>
      </c>
      <c r="H38" s="131">
        <f>ROUND((0.3+0.05+0.05),2)</f>
        <v>0.4</v>
      </c>
      <c r="I38" s="114" t="s">
        <v>132</v>
      </c>
      <c r="J38" s="132">
        <v>0.6</v>
      </c>
      <c r="K38" s="114" t="s">
        <v>149</v>
      </c>
      <c r="L38" s="129">
        <v>0.6</v>
      </c>
      <c r="M38" s="114" t="s">
        <v>154</v>
      </c>
      <c r="N38" s="289">
        <f>ROUND(E38*(H38+J38)*L38,2)</f>
        <v>4.44</v>
      </c>
      <c r="O38" s="289"/>
    </row>
    <row r="39" spans="2:15" ht="12.75">
      <c r="B39" s="113"/>
      <c r="C39" s="133" t="s">
        <v>167</v>
      </c>
      <c r="D39" s="128"/>
      <c r="E39" s="128"/>
      <c r="F39" s="114"/>
      <c r="G39" s="129"/>
      <c r="H39" s="114"/>
      <c r="I39" s="129"/>
      <c r="J39" s="130"/>
      <c r="K39" s="131"/>
      <c r="L39" s="114"/>
      <c r="M39" s="132"/>
      <c r="N39" s="114"/>
      <c r="O39" s="129"/>
    </row>
    <row r="41" spans="2:16" s="118" customFormat="1" ht="15" customHeight="1">
      <c r="B41" s="119"/>
      <c r="C41" s="120" t="s">
        <v>173</v>
      </c>
      <c r="D41" s="121" t="s">
        <v>174</v>
      </c>
      <c r="E41" s="305">
        <v>8</v>
      </c>
      <c r="F41" s="305"/>
      <c r="G41" s="123" t="s">
        <v>149</v>
      </c>
      <c r="H41" s="124">
        <f>ROUND((0.6+0.08+0.08),2)</f>
        <v>0.76</v>
      </c>
      <c r="I41" s="123" t="s">
        <v>132</v>
      </c>
      <c r="J41" s="125">
        <v>0.6</v>
      </c>
      <c r="K41" s="123" t="s">
        <v>149</v>
      </c>
      <c r="L41" s="122">
        <v>1.1</v>
      </c>
      <c r="M41" s="123" t="s">
        <v>154</v>
      </c>
      <c r="N41" s="306">
        <f>ROUND(E41*(H41+J41)*L41,2)</f>
        <v>11.97</v>
      </c>
      <c r="O41" s="306"/>
      <c r="P41" s="118" t="s">
        <v>155</v>
      </c>
    </row>
    <row r="42" spans="2:15" ht="12.75">
      <c r="B42" s="113"/>
      <c r="C42" s="127" t="s">
        <v>164</v>
      </c>
      <c r="D42" s="128"/>
      <c r="E42" s="128"/>
      <c r="F42" s="114"/>
      <c r="G42" s="129"/>
      <c r="H42" s="114"/>
      <c r="I42" s="129"/>
      <c r="J42" s="130"/>
      <c r="K42" s="131"/>
      <c r="L42" s="114"/>
      <c r="M42" s="132"/>
      <c r="N42" s="114"/>
      <c r="O42" s="129"/>
    </row>
    <row r="44" spans="2:15" ht="15" customHeight="1">
      <c r="B44" s="113"/>
      <c r="C44" s="134" t="s">
        <v>175</v>
      </c>
      <c r="D44" s="115" t="s">
        <v>176</v>
      </c>
      <c r="E44" s="304">
        <v>9</v>
      </c>
      <c r="F44" s="304"/>
      <c r="G44" s="114" t="s">
        <v>149</v>
      </c>
      <c r="H44" s="131">
        <f>ROUND((0.6+0.08+0.08),2)</f>
        <v>0.76</v>
      </c>
      <c r="I44" s="114" t="s">
        <v>132</v>
      </c>
      <c r="J44" s="132">
        <v>0.6</v>
      </c>
      <c r="K44" s="114" t="s">
        <v>149</v>
      </c>
      <c r="L44" s="129">
        <v>0.8</v>
      </c>
      <c r="M44" s="114" t="s">
        <v>154</v>
      </c>
      <c r="N44" s="289">
        <f>ROUND(E44*(H44+J44)*L44,2)</f>
        <v>9.79</v>
      </c>
      <c r="O44" s="289"/>
    </row>
    <row r="45" spans="2:15" ht="12.75">
      <c r="B45" s="113"/>
      <c r="C45" s="133" t="s">
        <v>164</v>
      </c>
      <c r="D45" s="128"/>
      <c r="E45" s="128"/>
      <c r="F45" s="114"/>
      <c r="G45" s="129"/>
      <c r="H45" s="114"/>
      <c r="I45" s="129"/>
      <c r="J45" s="130"/>
      <c r="K45" s="131"/>
      <c r="L45" s="114"/>
      <c r="M45" s="132"/>
      <c r="N45" s="114"/>
      <c r="O45" s="129"/>
    </row>
    <row r="47" spans="2:15" ht="15" customHeight="1">
      <c r="B47" s="113"/>
      <c r="C47" s="134" t="s">
        <v>177</v>
      </c>
      <c r="D47" s="115" t="s">
        <v>178</v>
      </c>
      <c r="E47" s="304">
        <v>11</v>
      </c>
      <c r="F47" s="304"/>
      <c r="G47" s="114" t="s">
        <v>149</v>
      </c>
      <c r="H47" s="131">
        <f>ROUND((1+0.12+0.12),2)</f>
        <v>1.24</v>
      </c>
      <c r="I47" s="114" t="s">
        <v>132</v>
      </c>
      <c r="J47" s="132">
        <v>0.6</v>
      </c>
      <c r="K47" s="114" t="s">
        <v>149</v>
      </c>
      <c r="L47" s="129">
        <v>1.3</v>
      </c>
      <c r="M47" s="114" t="s">
        <v>154</v>
      </c>
      <c r="N47" s="289">
        <f>ROUND(E47*(H47+J47)*L47,2)</f>
        <v>26.31</v>
      </c>
      <c r="O47" s="289"/>
    </row>
    <row r="48" spans="2:15" ht="12.75">
      <c r="B48" s="113"/>
      <c r="C48" s="133" t="s">
        <v>156</v>
      </c>
      <c r="D48" s="128"/>
      <c r="E48" s="128"/>
      <c r="F48" s="114"/>
      <c r="G48" s="129"/>
      <c r="H48" s="114"/>
      <c r="I48" s="129"/>
      <c r="J48" s="130"/>
      <c r="K48" s="131"/>
      <c r="L48" s="114"/>
      <c r="M48" s="132"/>
      <c r="N48" s="114"/>
      <c r="O48" s="129"/>
    </row>
    <row r="50" spans="2:15" ht="15" customHeight="1">
      <c r="B50" s="113"/>
      <c r="C50" s="134" t="s">
        <v>179</v>
      </c>
      <c r="D50" s="115" t="s">
        <v>180</v>
      </c>
      <c r="E50" s="304">
        <v>13</v>
      </c>
      <c r="F50" s="304"/>
      <c r="G50" s="114" t="s">
        <v>149</v>
      </c>
      <c r="H50" s="131">
        <f>ROUND((1+0.12+0.12),2)</f>
        <v>1.24</v>
      </c>
      <c r="I50" s="114" t="s">
        <v>132</v>
      </c>
      <c r="J50" s="132">
        <v>0.6</v>
      </c>
      <c r="K50" s="114" t="s">
        <v>149</v>
      </c>
      <c r="L50" s="129">
        <v>1.3</v>
      </c>
      <c r="M50" s="114" t="s">
        <v>154</v>
      </c>
      <c r="N50" s="289">
        <f>ROUND(E50*(H50+J50)*L50,2)</f>
        <v>31.1</v>
      </c>
      <c r="O50" s="289"/>
    </row>
    <row r="51" spans="2:15" ht="12.75">
      <c r="B51" s="113"/>
      <c r="C51" s="133" t="s">
        <v>156</v>
      </c>
      <c r="D51" s="128"/>
      <c r="E51" s="128"/>
      <c r="F51" s="114"/>
      <c r="G51" s="129"/>
      <c r="H51" s="114"/>
      <c r="I51" s="129"/>
      <c r="J51" s="130"/>
      <c r="K51" s="131"/>
      <c r="L51" s="114"/>
      <c r="M51" s="132"/>
      <c r="N51" s="114"/>
      <c r="O51" s="129"/>
    </row>
    <row r="53" spans="4:7" ht="12.75" customHeight="1">
      <c r="D53" s="115" t="s">
        <v>147</v>
      </c>
      <c r="E53" s="310">
        <f>SUM(N20:O50)</f>
        <v>192.45999999999998</v>
      </c>
      <c r="F53" s="310"/>
      <c r="G53" s="135" t="s">
        <v>181</v>
      </c>
    </row>
    <row r="55" spans="2:15" ht="15" customHeight="1">
      <c r="B55" s="136" t="s">
        <v>182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8"/>
      <c r="N55" s="139"/>
      <c r="O55" s="114"/>
    </row>
    <row r="56" spans="2:15" ht="12.75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8"/>
      <c r="N56" s="139"/>
      <c r="O56" s="114"/>
    </row>
    <row r="57" spans="5:14" ht="12.75" customHeight="1">
      <c r="E57" s="307" t="s">
        <v>148</v>
      </c>
      <c r="F57" s="307"/>
      <c r="G57" s="114" t="s">
        <v>149</v>
      </c>
      <c r="H57" s="116" t="s">
        <v>183</v>
      </c>
      <c r="I57" s="117"/>
      <c r="J57" s="114"/>
      <c r="K57" s="307"/>
      <c r="L57" s="307"/>
      <c r="M57" s="101"/>
      <c r="N57" s="101"/>
    </row>
    <row r="58" spans="13:14" ht="12.75">
      <c r="M58" s="101"/>
      <c r="N58" s="101"/>
    </row>
    <row r="59" spans="3:14" s="118" customFormat="1" ht="12.75" customHeight="1">
      <c r="C59" s="120" t="s">
        <v>152</v>
      </c>
      <c r="D59" s="121" t="s">
        <v>153</v>
      </c>
      <c r="E59" s="305">
        <f>E20</f>
        <v>27</v>
      </c>
      <c r="F59" s="305"/>
      <c r="G59" s="123" t="s">
        <v>149</v>
      </c>
      <c r="H59" s="336">
        <f>ROUND(((3.14159*(0.5+0.12)^2)),2)</f>
        <v>1.21</v>
      </c>
      <c r="I59" s="336"/>
      <c r="J59" s="123" t="s">
        <v>154</v>
      </c>
      <c r="K59" s="337">
        <f>E59*H59</f>
        <v>32.67</v>
      </c>
      <c r="L59" s="337"/>
      <c r="M59" s="140"/>
      <c r="N59" s="140"/>
    </row>
    <row r="60" spans="3:14" s="118" customFormat="1" ht="12.75">
      <c r="C60" s="127" t="s">
        <v>156</v>
      </c>
      <c r="D60" s="141"/>
      <c r="J60" s="125"/>
      <c r="M60" s="140"/>
      <c r="N60" s="140"/>
    </row>
    <row r="61" spans="3:14" s="118" customFormat="1" ht="12.75">
      <c r="C61" s="127"/>
      <c r="D61" s="141"/>
      <c r="J61" s="125"/>
      <c r="M61" s="140"/>
      <c r="N61" s="140"/>
    </row>
    <row r="62" spans="3:14" s="118" customFormat="1" ht="12.75" customHeight="1">
      <c r="C62" s="120" t="s">
        <v>157</v>
      </c>
      <c r="D62" s="121" t="s">
        <v>158</v>
      </c>
      <c r="E62" s="305">
        <f>E23</f>
        <v>8</v>
      </c>
      <c r="F62" s="305"/>
      <c r="G62" s="123" t="s">
        <v>149</v>
      </c>
      <c r="H62" s="336">
        <f>ROUND(((3.14159*(0.2+0.06)^2)),2)</f>
        <v>0.21</v>
      </c>
      <c r="I62" s="336"/>
      <c r="J62" s="123" t="s">
        <v>154</v>
      </c>
      <c r="K62" s="337">
        <f>E62*H62</f>
        <v>1.68</v>
      </c>
      <c r="L62" s="337"/>
      <c r="M62" s="140"/>
      <c r="N62" s="140"/>
    </row>
    <row r="63" spans="3:14" s="118" customFormat="1" ht="12.75">
      <c r="C63" s="127" t="s">
        <v>159</v>
      </c>
      <c r="D63" s="141"/>
      <c r="J63" s="125"/>
      <c r="M63" s="140"/>
      <c r="N63" s="140"/>
    </row>
    <row r="64" spans="3:14" ht="12.75">
      <c r="C64" s="114"/>
      <c r="D64" s="117"/>
      <c r="J64" s="132"/>
      <c r="M64" s="101"/>
      <c r="N64" s="101"/>
    </row>
    <row r="65" spans="3:12" ht="12.75" customHeight="1">
      <c r="C65" s="134" t="s">
        <v>160</v>
      </c>
      <c r="D65" s="115" t="s">
        <v>161</v>
      </c>
      <c r="E65" s="304">
        <f>E26</f>
        <v>6.5</v>
      </c>
      <c r="F65" s="304"/>
      <c r="G65" s="114" t="s">
        <v>149</v>
      </c>
      <c r="H65" s="335">
        <f>ROUND(((3.14159*(0.5+0.12)^2)),2)</f>
        <v>1.21</v>
      </c>
      <c r="I65" s="335"/>
      <c r="J65" s="114" t="s">
        <v>154</v>
      </c>
      <c r="K65" s="310">
        <f>E65*H65</f>
        <v>7.865</v>
      </c>
      <c r="L65" s="310"/>
    </row>
    <row r="66" spans="3:10" ht="12.75">
      <c r="C66" s="133" t="s">
        <v>156</v>
      </c>
      <c r="D66" s="128"/>
      <c r="J66" s="132"/>
    </row>
    <row r="67" spans="3:10" ht="12.75">
      <c r="C67" s="133"/>
      <c r="D67" s="128"/>
      <c r="J67" s="132"/>
    </row>
    <row r="68" spans="3:12" ht="12.75">
      <c r="C68" s="134" t="s">
        <v>162</v>
      </c>
      <c r="D68" s="115" t="s">
        <v>163</v>
      </c>
      <c r="E68" s="304">
        <f>E29</f>
        <v>6.5</v>
      </c>
      <c r="F68" s="304"/>
      <c r="G68" s="114" t="s">
        <v>149</v>
      </c>
      <c r="H68" s="335">
        <f>ROUND(((3.14159*(0.3+0.08)^2)),2)</f>
        <v>0.45</v>
      </c>
      <c r="I68" s="335"/>
      <c r="J68" s="114" t="s">
        <v>154</v>
      </c>
      <c r="K68" s="310">
        <f>E68*H68</f>
        <v>2.9250000000000003</v>
      </c>
      <c r="L68" s="310"/>
    </row>
    <row r="69" spans="3:10" ht="12.75">
      <c r="C69" s="133" t="s">
        <v>164</v>
      </c>
      <c r="D69" s="128"/>
      <c r="J69" s="132"/>
    </row>
    <row r="70" ht="12.75">
      <c r="J70" s="132"/>
    </row>
    <row r="71" spans="3:12" s="118" customFormat="1" ht="12.75" customHeight="1">
      <c r="C71" s="120" t="s">
        <v>165</v>
      </c>
      <c r="D71" s="121" t="s">
        <v>166</v>
      </c>
      <c r="E71" s="305">
        <f>E32</f>
        <v>6</v>
      </c>
      <c r="F71" s="305"/>
      <c r="G71" s="123" t="s">
        <v>149</v>
      </c>
      <c r="H71" s="336">
        <f>ROUND(((3.14159*(0.15+0.05)^2)),2)</f>
        <v>0.13</v>
      </c>
      <c r="I71" s="336"/>
      <c r="J71" s="123" t="s">
        <v>154</v>
      </c>
      <c r="K71" s="337">
        <f>E71*H71</f>
        <v>0.78</v>
      </c>
      <c r="L71" s="337"/>
    </row>
    <row r="72" spans="3:10" s="118" customFormat="1" ht="12.75">
      <c r="C72" s="127" t="s">
        <v>167</v>
      </c>
      <c r="D72" s="141"/>
      <c r="J72" s="125"/>
    </row>
    <row r="73" s="118" customFormat="1" ht="12.75">
      <c r="J73" s="125"/>
    </row>
    <row r="74" spans="3:12" s="118" customFormat="1" ht="12.75" customHeight="1">
      <c r="C74" s="120" t="s">
        <v>168</v>
      </c>
      <c r="D74" s="121" t="s">
        <v>169</v>
      </c>
      <c r="E74" s="305">
        <f>E35</f>
        <v>8</v>
      </c>
      <c r="F74" s="305"/>
      <c r="G74" s="123" t="s">
        <v>149</v>
      </c>
      <c r="H74" s="336">
        <f>ROUND(((3.14159*(0.4+0.1)^2)),2)</f>
        <v>0.79</v>
      </c>
      <c r="I74" s="336"/>
      <c r="J74" s="123" t="s">
        <v>154</v>
      </c>
      <c r="K74" s="337">
        <f>E74*H74</f>
        <v>6.32</v>
      </c>
      <c r="L74" s="337"/>
    </row>
    <row r="75" spans="3:10" s="118" customFormat="1" ht="12.75">
      <c r="C75" s="127" t="s">
        <v>170</v>
      </c>
      <c r="D75" s="141"/>
      <c r="J75" s="125"/>
    </row>
    <row r="76" ht="12.75">
      <c r="J76" s="132"/>
    </row>
    <row r="77" spans="3:12" ht="12.75" customHeight="1">
      <c r="C77" s="134" t="s">
        <v>171</v>
      </c>
      <c r="D77" s="115" t="s">
        <v>172</v>
      </c>
      <c r="E77" s="304">
        <f>E38</f>
        <v>7.4</v>
      </c>
      <c r="F77" s="304"/>
      <c r="G77" s="114" t="s">
        <v>149</v>
      </c>
      <c r="H77" s="335">
        <f>ROUND(((3.14159*(0.15+0.05)^2)),2)</f>
        <v>0.13</v>
      </c>
      <c r="I77" s="335"/>
      <c r="J77" s="114" t="s">
        <v>154</v>
      </c>
      <c r="K77" s="310">
        <f>E77*H77</f>
        <v>0.9620000000000001</v>
      </c>
      <c r="L77" s="310"/>
    </row>
    <row r="78" spans="3:10" ht="12.75">
      <c r="C78" s="133" t="s">
        <v>167</v>
      </c>
      <c r="D78" s="128"/>
      <c r="J78" s="132"/>
    </row>
    <row r="79" ht="12.75">
      <c r="J79" s="132"/>
    </row>
    <row r="80" spans="3:12" s="118" customFormat="1" ht="12.75" customHeight="1">
      <c r="C80" s="120" t="s">
        <v>173</v>
      </c>
      <c r="D80" s="121" t="s">
        <v>174</v>
      </c>
      <c r="E80" s="305">
        <f>E41</f>
        <v>8</v>
      </c>
      <c r="F80" s="305"/>
      <c r="G80" s="123" t="s">
        <v>149</v>
      </c>
      <c r="H80" s="336">
        <f>ROUND(((3.14159*(0.3+0.08)^2)),2)</f>
        <v>0.45</v>
      </c>
      <c r="I80" s="336"/>
      <c r="J80" s="123" t="s">
        <v>154</v>
      </c>
      <c r="K80" s="337">
        <f>E80*H80</f>
        <v>3.6</v>
      </c>
      <c r="L80" s="337"/>
    </row>
    <row r="81" spans="3:10" s="118" customFormat="1" ht="12.75">
      <c r="C81" s="127" t="s">
        <v>164</v>
      </c>
      <c r="D81" s="141"/>
      <c r="J81" s="125"/>
    </row>
    <row r="82" ht="12.75">
      <c r="J82" s="132"/>
    </row>
    <row r="83" spans="3:12" ht="12.75" customHeight="1">
      <c r="C83" s="134" t="s">
        <v>175</v>
      </c>
      <c r="D83" s="115" t="s">
        <v>176</v>
      </c>
      <c r="E83" s="304">
        <f>E44</f>
        <v>9</v>
      </c>
      <c r="F83" s="304"/>
      <c r="G83" s="114" t="s">
        <v>149</v>
      </c>
      <c r="H83" s="335">
        <f>ROUND(((3.14159*(0.3+0.08)^2)),2)</f>
        <v>0.45</v>
      </c>
      <c r="I83" s="335"/>
      <c r="J83" s="114" t="s">
        <v>154</v>
      </c>
      <c r="K83" s="310">
        <f>E83*H83</f>
        <v>4.05</v>
      </c>
      <c r="L83" s="310"/>
    </row>
    <row r="84" spans="3:10" ht="12.75">
      <c r="C84" s="133" t="s">
        <v>164</v>
      </c>
      <c r="D84" s="128"/>
      <c r="J84" s="132"/>
    </row>
    <row r="85" ht="12.75">
      <c r="J85" s="132"/>
    </row>
    <row r="86" spans="3:12" ht="12.75" customHeight="1">
      <c r="C86" s="134" t="s">
        <v>177</v>
      </c>
      <c r="D86" s="115" t="s">
        <v>178</v>
      </c>
      <c r="E86" s="304">
        <f>E47</f>
        <v>11</v>
      </c>
      <c r="F86" s="304"/>
      <c r="G86" s="114" t="s">
        <v>149</v>
      </c>
      <c r="H86" s="335">
        <f>ROUND(((3.14159*(0.5+0.12)^2)),2)</f>
        <v>1.21</v>
      </c>
      <c r="I86" s="335"/>
      <c r="J86" s="114" t="s">
        <v>154</v>
      </c>
      <c r="K86" s="310">
        <f>E86*H86</f>
        <v>13.309999999999999</v>
      </c>
      <c r="L86" s="310"/>
    </row>
    <row r="87" spans="3:10" ht="12.75">
      <c r="C87" s="133" t="s">
        <v>156</v>
      </c>
      <c r="D87" s="128"/>
      <c r="J87" s="132"/>
    </row>
    <row r="88" ht="12.75">
      <c r="J88" s="132"/>
    </row>
    <row r="89" spans="3:12" ht="12.75">
      <c r="C89" s="134" t="s">
        <v>179</v>
      </c>
      <c r="D89" s="115" t="s">
        <v>180</v>
      </c>
      <c r="E89" s="304">
        <f>E50</f>
        <v>13</v>
      </c>
      <c r="F89" s="304"/>
      <c r="G89" s="114" t="s">
        <v>149</v>
      </c>
      <c r="H89" s="335">
        <f>ROUND(((3.14159*(0.5+0.12)^2)),2)</f>
        <v>1.21</v>
      </c>
      <c r="I89" s="335"/>
      <c r="J89" s="114" t="s">
        <v>154</v>
      </c>
      <c r="K89" s="310">
        <f>E89*H89</f>
        <v>15.73</v>
      </c>
      <c r="L89" s="310"/>
    </row>
    <row r="90" spans="3:4" ht="12.75">
      <c r="C90" s="133" t="s">
        <v>156</v>
      </c>
      <c r="D90" s="128"/>
    </row>
    <row r="92" spans="4:7" ht="12.75">
      <c r="D92" s="115" t="s">
        <v>147</v>
      </c>
      <c r="E92" s="310">
        <f>SUM(K59:L89)</f>
        <v>89.89200000000001</v>
      </c>
      <c r="F92" s="310"/>
      <c r="G92" s="135" t="s">
        <v>184</v>
      </c>
    </row>
    <row r="93" ht="12.75">
      <c r="G93"/>
    </row>
    <row r="95" spans="2:15" ht="12.75">
      <c r="B95" s="142" t="s">
        <v>185</v>
      </c>
      <c r="C95" s="114"/>
      <c r="D95" s="114"/>
      <c r="E95" s="114"/>
      <c r="F95" s="114"/>
      <c r="G95" s="114"/>
      <c r="H95" s="114"/>
      <c r="I95" s="114"/>
      <c r="J95" s="117"/>
      <c r="K95" s="117"/>
      <c r="L95" s="117"/>
      <c r="M95" s="117"/>
      <c r="N95" s="114"/>
      <c r="O95" s="114"/>
    </row>
    <row r="96" spans="2:14" ht="12.75">
      <c r="B96" s="113"/>
      <c r="E96" s="64" t="s">
        <v>186</v>
      </c>
      <c r="G96" s="64" t="s">
        <v>187</v>
      </c>
      <c r="N96" s="101"/>
    </row>
    <row r="97" ht="12.75">
      <c r="N97" s="101"/>
    </row>
    <row r="98" spans="4:14" ht="12.75" customHeight="1">
      <c r="D98" s="115" t="s">
        <v>147</v>
      </c>
      <c r="E98" s="143">
        <f>E53</f>
        <v>192.45999999999998</v>
      </c>
      <c r="F98" s="143" t="s">
        <v>188</v>
      </c>
      <c r="G98" s="320">
        <f>E92</f>
        <v>89.89200000000001</v>
      </c>
      <c r="H98" s="320"/>
      <c r="N98" s="101"/>
    </row>
    <row r="99" ht="12.75">
      <c r="N99" s="101"/>
    </row>
    <row r="100" spans="4:14" ht="12.75">
      <c r="D100" s="115" t="s">
        <v>147</v>
      </c>
      <c r="E100" s="143">
        <f>E98-G98</f>
        <v>102.56799999999997</v>
      </c>
      <c r="G100" s="135" t="s">
        <v>189</v>
      </c>
      <c r="N100" s="101"/>
    </row>
    <row r="101" spans="2:14" s="144" customFormat="1" ht="12.75">
      <c r="B101" s="64"/>
      <c r="D101" s="115"/>
      <c r="N101" s="145"/>
    </row>
    <row r="102" spans="2:14" ht="12.75">
      <c r="B102" s="144"/>
      <c r="N102" s="101"/>
    </row>
    <row r="103" spans="2:14" ht="12.75">
      <c r="B103" s="137" t="s">
        <v>190</v>
      </c>
      <c r="N103" s="101"/>
    </row>
    <row r="104" spans="2:14" ht="12.75">
      <c r="B104" s="144"/>
      <c r="N104" s="101"/>
    </row>
    <row r="105" spans="2:16" s="117" customFormat="1" ht="15" customHeight="1">
      <c r="B105" s="113"/>
      <c r="C105" s="333" t="s">
        <v>191</v>
      </c>
      <c r="D105" s="333"/>
      <c r="E105" s="333"/>
      <c r="F105" s="333"/>
      <c r="G105" s="333"/>
      <c r="H105" s="333"/>
      <c r="I105" s="333"/>
      <c r="J105" s="333"/>
      <c r="K105" s="333"/>
      <c r="L105" s="333"/>
      <c r="M105" s="333"/>
      <c r="N105" s="333"/>
      <c r="O105" s="333"/>
      <c r="P105" s="146"/>
    </row>
    <row r="106" spans="2:16" s="117" customFormat="1" ht="15" customHeight="1">
      <c r="B106" s="113"/>
      <c r="C106" s="333"/>
      <c r="D106" s="333"/>
      <c r="E106" s="333"/>
      <c r="F106" s="333"/>
      <c r="G106" s="333"/>
      <c r="H106" s="333"/>
      <c r="I106" s="333"/>
      <c r="J106" s="333"/>
      <c r="K106" s="333"/>
      <c r="L106" s="333"/>
      <c r="M106" s="333"/>
      <c r="N106" s="333"/>
      <c r="O106" s="333"/>
      <c r="P106" s="146"/>
    </row>
    <row r="107" spans="2:14" ht="12.75">
      <c r="B107" s="144"/>
      <c r="N107" s="101"/>
    </row>
    <row r="108" spans="2:14" ht="12.75">
      <c r="B108" s="144"/>
      <c r="D108" s="115" t="s">
        <v>147</v>
      </c>
      <c r="E108" s="143">
        <f>(N26+N29+N38+N44++N47+N50)</f>
        <v>96.6</v>
      </c>
      <c r="G108" s="135" t="s">
        <v>192</v>
      </c>
      <c r="N108" s="101"/>
    </row>
    <row r="109" spans="2:14" ht="12.75">
      <c r="B109" s="144"/>
      <c r="N109" s="101"/>
    </row>
    <row r="110" spans="2:14" ht="12.75">
      <c r="B110" s="144"/>
      <c r="N110" s="101"/>
    </row>
    <row r="111" spans="2:256" ht="12.75">
      <c r="B111" s="137" t="s">
        <v>193</v>
      </c>
      <c r="N111" s="10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3:256" ht="12.75" customHeight="1"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9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ht="12.75" customHeight="1">
      <c r="B113" s="116" t="s">
        <v>194</v>
      </c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9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ht="12.75" customHeight="1"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9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ht="12.75">
      <c r="B115" s="138"/>
      <c r="C115" s="147" t="s">
        <v>195</v>
      </c>
      <c r="D115" s="101" t="s">
        <v>154</v>
      </c>
      <c r="E115" s="133" t="s">
        <v>196</v>
      </c>
      <c r="G115" s="143" t="s">
        <v>132</v>
      </c>
      <c r="H115" s="133" t="s">
        <v>197</v>
      </c>
      <c r="N115" s="101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4:256" ht="12.75">
      <c r="N116" s="101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4:256" ht="12.75">
      <c r="D117" s="115" t="s">
        <v>147</v>
      </c>
      <c r="E117" s="148">
        <f>E108</f>
        <v>96.6</v>
      </c>
      <c r="F117" s="149" t="s">
        <v>149</v>
      </c>
      <c r="G117" s="150">
        <v>1.27</v>
      </c>
      <c r="H117" s="143" t="s">
        <v>188</v>
      </c>
      <c r="I117" s="320">
        <f>E100</f>
        <v>102.56799999999997</v>
      </c>
      <c r="J117" s="320"/>
      <c r="K117" s="151"/>
      <c r="L117" s="152"/>
      <c r="M117" s="152"/>
      <c r="N117" s="101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4:256" ht="12.75">
      <c r="N118" s="101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4:256" ht="12.75">
      <c r="D119" s="115" t="s">
        <v>147</v>
      </c>
      <c r="E119" s="148">
        <f>E117*G117</f>
        <v>122.68199999999999</v>
      </c>
      <c r="F119" s="143" t="s">
        <v>188</v>
      </c>
      <c r="G119" s="153">
        <f>I117</f>
        <v>102.56799999999997</v>
      </c>
      <c r="H119" s="114" t="s">
        <v>149</v>
      </c>
      <c r="I119" s="334">
        <v>1.7</v>
      </c>
      <c r="J119" s="334"/>
      <c r="N119" s="101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4:256" ht="12.75">
      <c r="N120" s="101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4:256" ht="12.75">
      <c r="D121" s="115" t="s">
        <v>147</v>
      </c>
      <c r="E121" s="154">
        <f>E119-G119</f>
        <v>20.11400000000002</v>
      </c>
      <c r="F121" s="114" t="s">
        <v>149</v>
      </c>
      <c r="G121" s="155">
        <v>1.7</v>
      </c>
      <c r="H121" s="156"/>
      <c r="I121" s="156"/>
      <c r="N121" s="10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4:256" ht="12.75">
      <c r="N122" s="101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4:256" ht="12.75">
      <c r="D123" s="115" t="s">
        <v>147</v>
      </c>
      <c r="E123" s="152">
        <f>(E121*G121)</f>
        <v>34.19380000000003</v>
      </c>
      <c r="F123" s="152"/>
      <c r="N123" s="101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4:256" ht="12.75">
      <c r="N124" s="101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157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14" s="144" customFormat="1" ht="15" customHeight="1">
      <c r="B126" s="137" t="s">
        <v>198</v>
      </c>
      <c r="D126" s="151"/>
      <c r="E126" s="151"/>
      <c r="F126" s="151"/>
      <c r="G126" s="149"/>
      <c r="H126" s="151"/>
      <c r="I126" s="151"/>
      <c r="J126" s="151"/>
      <c r="N126" s="145"/>
    </row>
    <row r="127" spans="2:14" s="144" customFormat="1" ht="15" customHeight="1">
      <c r="B127" s="137"/>
      <c r="D127" s="151"/>
      <c r="E127" s="151"/>
      <c r="F127" s="151"/>
      <c r="G127" s="149"/>
      <c r="H127" s="151"/>
      <c r="I127" s="151"/>
      <c r="J127" s="151"/>
      <c r="N127" s="145"/>
    </row>
    <row r="128" spans="2:14" ht="15" customHeight="1">
      <c r="B128" s="137"/>
      <c r="C128" s="133" t="s">
        <v>196</v>
      </c>
      <c r="D128" s="151"/>
      <c r="E128" s="149" t="s">
        <v>188</v>
      </c>
      <c r="F128" s="133" t="s">
        <v>199</v>
      </c>
      <c r="H128" s="151"/>
      <c r="I128" s="151"/>
      <c r="J128" s="151"/>
      <c r="N128" s="101"/>
    </row>
    <row r="129" spans="5:14" ht="15" customHeight="1">
      <c r="E129" s="151"/>
      <c r="F129" s="151"/>
      <c r="G129" s="149"/>
      <c r="H129" s="151"/>
      <c r="I129" s="151"/>
      <c r="J129" s="151"/>
      <c r="N129" s="101"/>
    </row>
    <row r="130" spans="2:18" ht="12.75" customHeight="1">
      <c r="B130" s="120" t="s">
        <v>152</v>
      </c>
      <c r="C130" s="121" t="s">
        <v>153</v>
      </c>
      <c r="D130" s="327">
        <f>N20</f>
        <v>49.68</v>
      </c>
      <c r="E130" s="327"/>
      <c r="F130" s="145" t="s">
        <v>200</v>
      </c>
      <c r="G130" s="321">
        <v>1.7</v>
      </c>
      <c r="H130" s="321"/>
      <c r="I130" s="158" t="s">
        <v>154</v>
      </c>
      <c r="J130" s="290">
        <f>D130*G130</f>
        <v>84.456</v>
      </c>
      <c r="K130" s="290"/>
      <c r="L130" s="149" t="s">
        <v>149</v>
      </c>
      <c r="M130" s="328">
        <v>0</v>
      </c>
      <c r="N130" s="328"/>
      <c r="O130" s="148" t="s">
        <v>154</v>
      </c>
      <c r="P130" s="322">
        <f>J130*M130</f>
        <v>0</v>
      </c>
      <c r="Q130" s="322"/>
      <c r="R130" s="161"/>
    </row>
    <row r="131" spans="2:22" ht="12.75">
      <c r="B131" s="133"/>
      <c r="C131" s="141"/>
      <c r="D131" s="151"/>
      <c r="E131" s="151"/>
      <c r="F131" s="151"/>
      <c r="G131" s="101"/>
      <c r="I131" s="151"/>
      <c r="N131" s="101"/>
      <c r="Q131" s="144"/>
      <c r="R131" s="144"/>
      <c r="S131" s="144"/>
      <c r="T131" s="144"/>
      <c r="U131" s="144"/>
      <c r="V131" s="144"/>
    </row>
    <row r="132" spans="2:18" s="162" customFormat="1" ht="12.75">
      <c r="B132" s="163"/>
      <c r="C132" s="164"/>
      <c r="D132" s="165"/>
      <c r="E132" s="165"/>
      <c r="F132" s="165"/>
      <c r="G132" s="166"/>
      <c r="I132" s="165"/>
      <c r="J132" s="331">
        <f>J130-P140-P167-29.8</f>
        <v>0.0010000000000012221</v>
      </c>
      <c r="K132" s="331"/>
      <c r="L132" s="167" t="s">
        <v>149</v>
      </c>
      <c r="M132" s="332">
        <v>0</v>
      </c>
      <c r="N132" s="332"/>
      <c r="O132" s="168" t="s">
        <v>154</v>
      </c>
      <c r="P132" s="324">
        <f>J132*M132</f>
        <v>0</v>
      </c>
      <c r="Q132" s="324"/>
      <c r="R132" s="162" t="s">
        <v>201</v>
      </c>
    </row>
    <row r="133" spans="2:7" ht="12.75">
      <c r="B133" s="133"/>
      <c r="C133" s="141"/>
      <c r="G133" s="114"/>
    </row>
    <row r="134" spans="2:17" ht="12.75">
      <c r="B134" s="120" t="s">
        <v>157</v>
      </c>
      <c r="C134" s="121" t="s">
        <v>158</v>
      </c>
      <c r="D134" s="327">
        <f>N23</f>
        <v>11.65</v>
      </c>
      <c r="E134" s="327"/>
      <c r="F134" s="145" t="s">
        <v>200</v>
      </c>
      <c r="G134" s="321">
        <v>1.7</v>
      </c>
      <c r="H134" s="321"/>
      <c r="I134" s="158" t="s">
        <v>154</v>
      </c>
      <c r="J134" s="290">
        <f>D134*G134</f>
        <v>19.805</v>
      </c>
      <c r="K134" s="290"/>
      <c r="L134" s="149" t="s">
        <v>149</v>
      </c>
      <c r="M134" s="328">
        <v>0</v>
      </c>
      <c r="N134" s="328"/>
      <c r="O134" s="148" t="s">
        <v>154</v>
      </c>
      <c r="P134" s="322">
        <f>J134*M134</f>
        <v>0</v>
      </c>
      <c r="Q134" s="322"/>
    </row>
    <row r="135" spans="2:3" ht="12.75">
      <c r="B135" s="133"/>
      <c r="C135" s="141"/>
    </row>
    <row r="136" spans="2:18" s="162" customFormat="1" ht="12.75">
      <c r="B136" s="163"/>
      <c r="C136" s="164"/>
      <c r="J136" s="331">
        <f>J134-P144</f>
        <v>9.962</v>
      </c>
      <c r="K136" s="331"/>
      <c r="L136" s="167" t="s">
        <v>149</v>
      </c>
      <c r="M136" s="332">
        <f>0.94+17.6</f>
        <v>18.540000000000003</v>
      </c>
      <c r="N136" s="332"/>
      <c r="O136" s="168" t="s">
        <v>154</v>
      </c>
      <c r="P136" s="324">
        <f>J136*M136</f>
        <v>184.69548000000003</v>
      </c>
      <c r="Q136" s="324"/>
      <c r="R136" s="162" t="s">
        <v>202</v>
      </c>
    </row>
    <row r="137" spans="2:3" ht="12.75">
      <c r="B137" s="114"/>
      <c r="C137" s="117"/>
    </row>
    <row r="138" spans="2:22" ht="12.75">
      <c r="B138" s="134" t="s">
        <v>160</v>
      </c>
      <c r="C138" s="115" t="s">
        <v>161</v>
      </c>
      <c r="D138" s="148">
        <f>N26</f>
        <v>14.35</v>
      </c>
      <c r="E138" s="149" t="s">
        <v>149</v>
      </c>
      <c r="F138" s="150">
        <v>1.27</v>
      </c>
      <c r="G138" s="145" t="s">
        <v>188</v>
      </c>
      <c r="H138" s="169">
        <f>N26-K65</f>
        <v>6.484999999999999</v>
      </c>
      <c r="I138" s="151" t="s">
        <v>154</v>
      </c>
      <c r="J138" s="320">
        <f>ROUND(((D138*F138)-H138),2)</f>
        <v>11.74</v>
      </c>
      <c r="K138" s="320"/>
      <c r="L138" s="145" t="s">
        <v>200</v>
      </c>
      <c r="M138" s="321">
        <v>1.7</v>
      </c>
      <c r="N138" s="321"/>
      <c r="O138" s="158" t="s">
        <v>154</v>
      </c>
      <c r="P138" s="170">
        <f>J138*M138</f>
        <v>19.958</v>
      </c>
      <c r="Q138" s="149" t="s">
        <v>149</v>
      </c>
      <c r="R138" s="318">
        <v>0</v>
      </c>
      <c r="S138" s="318"/>
      <c r="T138" s="148" t="s">
        <v>154</v>
      </c>
      <c r="U138" s="322">
        <f>P138*R138</f>
        <v>0</v>
      </c>
      <c r="V138" s="322"/>
    </row>
    <row r="139" spans="2:3" ht="12.75">
      <c r="B139" s="133"/>
      <c r="C139" s="128"/>
    </row>
    <row r="140" spans="2:23" s="162" customFormat="1" ht="12.75">
      <c r="B140" s="163"/>
      <c r="C140" s="171"/>
      <c r="P140" s="172">
        <f>P138</f>
        <v>19.958</v>
      </c>
      <c r="Q140" s="167" t="s">
        <v>149</v>
      </c>
      <c r="R140" s="323">
        <v>1.08</v>
      </c>
      <c r="S140" s="323"/>
      <c r="T140" s="168" t="s">
        <v>154</v>
      </c>
      <c r="U140" s="324">
        <f>P140*R140</f>
        <v>21.55464</v>
      </c>
      <c r="V140" s="324"/>
      <c r="W140" s="162" t="s">
        <v>203</v>
      </c>
    </row>
    <row r="141" spans="2:3" ht="12.75">
      <c r="B141" s="133"/>
      <c r="C141" s="128"/>
    </row>
    <row r="142" spans="2:22" ht="12.75">
      <c r="B142" s="134" t="s">
        <v>162</v>
      </c>
      <c r="C142" s="115" t="s">
        <v>163</v>
      </c>
      <c r="D142" s="148">
        <f>N29</f>
        <v>10.61</v>
      </c>
      <c r="E142" s="149" t="s">
        <v>149</v>
      </c>
      <c r="F142" s="150">
        <v>1.27</v>
      </c>
      <c r="G142" s="145" t="s">
        <v>188</v>
      </c>
      <c r="H142" s="169">
        <f>N29-K68</f>
        <v>7.684999999999999</v>
      </c>
      <c r="I142" s="151" t="s">
        <v>154</v>
      </c>
      <c r="J142" s="320">
        <f>ROUND(((D142*F142)-H142),2)</f>
        <v>5.79</v>
      </c>
      <c r="K142" s="320"/>
      <c r="L142" s="145" t="s">
        <v>200</v>
      </c>
      <c r="M142" s="321">
        <v>1.7</v>
      </c>
      <c r="N142" s="321"/>
      <c r="O142" s="158" t="s">
        <v>154</v>
      </c>
      <c r="P142" s="170">
        <f>J142*M142</f>
        <v>9.843</v>
      </c>
      <c r="Q142" s="149" t="s">
        <v>149</v>
      </c>
      <c r="R142" s="318">
        <v>0</v>
      </c>
      <c r="S142" s="318"/>
      <c r="T142" s="148" t="s">
        <v>154</v>
      </c>
      <c r="U142" s="322">
        <f>P142*R142</f>
        <v>0</v>
      </c>
      <c r="V142" s="322"/>
    </row>
    <row r="143" spans="2:3" ht="12.75">
      <c r="B143" s="133"/>
      <c r="C143" s="128"/>
    </row>
    <row r="144" spans="16:23" s="162" customFormat="1" ht="12.75">
      <c r="P144" s="172">
        <f>P142</f>
        <v>9.843</v>
      </c>
      <c r="Q144" s="167" t="s">
        <v>149</v>
      </c>
      <c r="R144" s="323">
        <v>0.3</v>
      </c>
      <c r="S144" s="323"/>
      <c r="T144" s="168" t="s">
        <v>154</v>
      </c>
      <c r="U144" s="324">
        <f>P144*R144</f>
        <v>2.9529</v>
      </c>
      <c r="V144" s="324"/>
      <c r="W144" s="162" t="s">
        <v>204</v>
      </c>
    </row>
    <row r="146" spans="2:17" ht="12.75">
      <c r="B146" s="120" t="s">
        <v>165</v>
      </c>
      <c r="C146" s="121" t="s">
        <v>166</v>
      </c>
      <c r="D146" s="327">
        <f>N32</f>
        <v>7.2</v>
      </c>
      <c r="E146" s="327"/>
      <c r="F146" s="145" t="s">
        <v>200</v>
      </c>
      <c r="G146" s="321">
        <v>1.7</v>
      </c>
      <c r="H146" s="321"/>
      <c r="I146" s="158" t="s">
        <v>154</v>
      </c>
      <c r="J146" s="290">
        <f>D146*G146</f>
        <v>12.24</v>
      </c>
      <c r="K146" s="290"/>
      <c r="L146" s="149" t="s">
        <v>149</v>
      </c>
      <c r="M146" s="328">
        <v>0</v>
      </c>
      <c r="N146" s="328"/>
      <c r="O146" s="148" t="s">
        <v>154</v>
      </c>
      <c r="P146" s="322">
        <f>J146*M146</f>
        <v>0</v>
      </c>
      <c r="Q146" s="322"/>
    </row>
    <row r="147" spans="2:3" ht="12.75">
      <c r="B147" s="127"/>
      <c r="C147" s="141"/>
    </row>
    <row r="148" spans="2:3" ht="12.75">
      <c r="B148" s="118"/>
      <c r="C148" s="118"/>
    </row>
    <row r="149" spans="2:17" ht="12.75">
      <c r="B149" s="120" t="s">
        <v>168</v>
      </c>
      <c r="C149" s="121" t="s">
        <v>169</v>
      </c>
      <c r="D149" s="327">
        <f>N35</f>
        <v>15.36</v>
      </c>
      <c r="E149" s="327"/>
      <c r="F149" s="145" t="s">
        <v>200</v>
      </c>
      <c r="G149" s="321">
        <v>1.7</v>
      </c>
      <c r="H149" s="321"/>
      <c r="I149" s="158" t="s">
        <v>154</v>
      </c>
      <c r="J149" s="290">
        <f>D149*G149</f>
        <v>26.112</v>
      </c>
      <c r="K149" s="290"/>
      <c r="L149" s="149" t="s">
        <v>149</v>
      </c>
      <c r="M149" s="328">
        <v>0</v>
      </c>
      <c r="N149" s="328"/>
      <c r="O149" s="148" t="s">
        <v>154</v>
      </c>
      <c r="P149" s="322">
        <f>J149*M149</f>
        <v>0</v>
      </c>
      <c r="Q149" s="322"/>
    </row>
    <row r="150" spans="2:17" ht="12.75">
      <c r="B150" s="120"/>
      <c r="C150" s="121"/>
      <c r="D150" s="169"/>
      <c r="E150" s="169"/>
      <c r="F150" s="145"/>
      <c r="G150" s="158"/>
      <c r="H150" s="158"/>
      <c r="I150" s="158"/>
      <c r="J150" s="170"/>
      <c r="K150" s="170"/>
      <c r="L150" s="149"/>
      <c r="M150" s="159"/>
      <c r="N150" s="159"/>
      <c r="O150" s="148"/>
      <c r="P150" s="160"/>
      <c r="Q150" s="160"/>
    </row>
    <row r="151" spans="2:18" s="173" customFormat="1" ht="12.75">
      <c r="B151" s="174"/>
      <c r="C151" s="175"/>
      <c r="J151" s="297">
        <f>J149-P153-P173</f>
        <v>11.219999999999997</v>
      </c>
      <c r="K151" s="297"/>
      <c r="L151" s="176" t="s">
        <v>149</v>
      </c>
      <c r="M151" s="330">
        <f>3.08+17.6</f>
        <v>20.68</v>
      </c>
      <c r="N151" s="330"/>
      <c r="O151" s="177" t="s">
        <v>154</v>
      </c>
      <c r="P151" s="316">
        <f>J151*M151</f>
        <v>232.02959999999993</v>
      </c>
      <c r="Q151" s="316"/>
      <c r="R151" s="173" t="s">
        <v>202</v>
      </c>
    </row>
    <row r="152" ht="12.75"/>
    <row r="153" spans="2:22" ht="12.75">
      <c r="B153" s="134" t="s">
        <v>171</v>
      </c>
      <c r="C153" s="115" t="s">
        <v>172</v>
      </c>
      <c r="D153" s="148">
        <f>N38</f>
        <v>4.44</v>
      </c>
      <c r="E153" s="149" t="s">
        <v>149</v>
      </c>
      <c r="F153" s="150">
        <v>1.27</v>
      </c>
      <c r="G153" s="145" t="s">
        <v>188</v>
      </c>
      <c r="H153" s="169">
        <f>N38-K77</f>
        <v>3.478</v>
      </c>
      <c r="I153" s="151" t="s">
        <v>154</v>
      </c>
      <c r="J153" s="320">
        <f>ROUND(((D153*F153)-H153),2)</f>
        <v>2.16</v>
      </c>
      <c r="K153" s="320"/>
      <c r="L153" s="145" t="s">
        <v>200</v>
      </c>
      <c r="M153" s="321">
        <v>1.7</v>
      </c>
      <c r="N153" s="321"/>
      <c r="O153" s="158" t="s">
        <v>154</v>
      </c>
      <c r="P153" s="170">
        <f>J153*M153</f>
        <v>3.672</v>
      </c>
      <c r="Q153" s="149" t="s">
        <v>149</v>
      </c>
      <c r="R153" s="318">
        <v>0</v>
      </c>
      <c r="S153" s="318"/>
      <c r="T153" s="148" t="s">
        <v>154</v>
      </c>
      <c r="U153" s="322">
        <f>P153*R153</f>
        <v>0</v>
      </c>
      <c r="V153" s="322"/>
    </row>
    <row r="154" spans="2:3" ht="12.75">
      <c r="B154" s="133"/>
      <c r="C154" s="128"/>
    </row>
    <row r="155" spans="16:23" s="173" customFormat="1" ht="12.75">
      <c r="P155" s="178">
        <f>P153</f>
        <v>3.672</v>
      </c>
      <c r="Q155" s="176" t="s">
        <v>149</v>
      </c>
      <c r="R155" s="315">
        <v>0.5</v>
      </c>
      <c r="S155" s="315"/>
      <c r="T155" s="177" t="s">
        <v>154</v>
      </c>
      <c r="U155" s="316">
        <f>P155*R155</f>
        <v>1.836</v>
      </c>
      <c r="V155" s="316"/>
      <c r="W155" s="173" t="s">
        <v>205</v>
      </c>
    </row>
    <row r="157" spans="2:17" s="144" customFormat="1" ht="12.75">
      <c r="B157" s="120" t="s">
        <v>173</v>
      </c>
      <c r="C157" s="121" t="s">
        <v>174</v>
      </c>
      <c r="D157" s="327">
        <f>N41</f>
        <v>11.97</v>
      </c>
      <c r="E157" s="327"/>
      <c r="F157" s="145" t="s">
        <v>200</v>
      </c>
      <c r="G157" s="321">
        <v>1.7</v>
      </c>
      <c r="H157" s="321"/>
      <c r="I157" s="158" t="s">
        <v>154</v>
      </c>
      <c r="J157" s="290">
        <f>D157*G157</f>
        <v>20.349</v>
      </c>
      <c r="K157" s="290"/>
      <c r="L157" s="149" t="s">
        <v>149</v>
      </c>
      <c r="M157" s="328">
        <v>0</v>
      </c>
      <c r="N157" s="328"/>
      <c r="O157" s="148" t="s">
        <v>154</v>
      </c>
      <c r="P157" s="322">
        <f>J157*M157</f>
        <v>0</v>
      </c>
      <c r="Q157" s="322"/>
    </row>
    <row r="158" spans="2:3" ht="12.75">
      <c r="B158" s="133"/>
      <c r="C158" s="141"/>
    </row>
    <row r="159" spans="2:18" s="179" customFormat="1" ht="12.75">
      <c r="B159" s="180"/>
      <c r="C159" s="181"/>
      <c r="J159" s="291">
        <f>J157-P163</f>
        <v>8.975999999999999</v>
      </c>
      <c r="K159" s="291"/>
      <c r="L159" s="182" t="s">
        <v>149</v>
      </c>
      <c r="M159" s="329">
        <f>4.4+17.6</f>
        <v>22</v>
      </c>
      <c r="N159" s="329"/>
      <c r="O159" s="183" t="s">
        <v>154</v>
      </c>
      <c r="P159" s="326">
        <f>J159*M159</f>
        <v>197.47199999999998</v>
      </c>
      <c r="Q159" s="326"/>
      <c r="R159" s="179" t="s">
        <v>202</v>
      </c>
    </row>
    <row r="160" ht="12.75"/>
    <row r="161" spans="2:22" ht="12.75">
      <c r="B161" s="134" t="s">
        <v>175</v>
      </c>
      <c r="C161" s="115" t="s">
        <v>176</v>
      </c>
      <c r="D161" s="148">
        <f>N44</f>
        <v>9.79</v>
      </c>
      <c r="E161" s="149" t="s">
        <v>149</v>
      </c>
      <c r="F161" s="150">
        <v>1.27</v>
      </c>
      <c r="G161" s="145" t="s">
        <v>188</v>
      </c>
      <c r="H161" s="169">
        <f>N44-K83</f>
        <v>5.739999999999999</v>
      </c>
      <c r="I161" s="151" t="s">
        <v>154</v>
      </c>
      <c r="J161" s="320">
        <f>ROUND(((D161*F161)-H161),2)</f>
        <v>6.69</v>
      </c>
      <c r="K161" s="320"/>
      <c r="L161" s="145" t="s">
        <v>200</v>
      </c>
      <c r="M161" s="321">
        <v>1.7</v>
      </c>
      <c r="N161" s="321"/>
      <c r="O161" s="158" t="s">
        <v>154</v>
      </c>
      <c r="P161" s="170">
        <f>J161*M161</f>
        <v>11.373000000000001</v>
      </c>
      <c r="Q161" s="149" t="s">
        <v>149</v>
      </c>
      <c r="R161" s="318">
        <v>0</v>
      </c>
      <c r="S161" s="318"/>
      <c r="T161" s="148" t="s">
        <v>154</v>
      </c>
      <c r="U161" s="322">
        <f>P161*R161</f>
        <v>0</v>
      </c>
      <c r="V161" s="322"/>
    </row>
    <row r="162" spans="2:3" ht="12.75">
      <c r="B162" s="133"/>
      <c r="C162" s="128"/>
    </row>
    <row r="163" spans="16:23" s="179" customFormat="1" ht="12.75">
      <c r="P163" s="184">
        <f>P161</f>
        <v>11.373000000000001</v>
      </c>
      <c r="Q163" s="182" t="s">
        <v>149</v>
      </c>
      <c r="R163" s="325">
        <v>0.92</v>
      </c>
      <c r="S163" s="325"/>
      <c r="T163" s="183" t="s">
        <v>154</v>
      </c>
      <c r="U163" s="326">
        <f>P163*R163</f>
        <v>10.463160000000002</v>
      </c>
      <c r="V163" s="326"/>
      <c r="W163" s="179" t="s">
        <v>206</v>
      </c>
    </row>
    <row r="165" spans="2:22" ht="12.75">
      <c r="B165" s="134" t="s">
        <v>177</v>
      </c>
      <c r="C165" s="115" t="s">
        <v>178</v>
      </c>
      <c r="D165" s="148">
        <f>N47</f>
        <v>26.31</v>
      </c>
      <c r="E165" s="149" t="s">
        <v>149</v>
      </c>
      <c r="F165" s="150">
        <v>1.27</v>
      </c>
      <c r="G165" s="145" t="s">
        <v>188</v>
      </c>
      <c r="H165" s="169">
        <f>N47-K86</f>
        <v>13</v>
      </c>
      <c r="I165" s="151" t="s">
        <v>154</v>
      </c>
      <c r="J165" s="320">
        <f>ROUND(((D165*F165)-H165),2)</f>
        <v>20.41</v>
      </c>
      <c r="K165" s="320"/>
      <c r="L165" s="145" t="s">
        <v>200</v>
      </c>
      <c r="M165" s="321">
        <v>1.7</v>
      </c>
      <c r="N165" s="321"/>
      <c r="O165" s="158" t="s">
        <v>154</v>
      </c>
      <c r="P165" s="170">
        <f>J165*M165</f>
        <v>34.697</v>
      </c>
      <c r="Q165" s="149" t="s">
        <v>149</v>
      </c>
      <c r="R165" s="318">
        <v>0</v>
      </c>
      <c r="S165" s="318"/>
      <c r="T165" s="148" t="s">
        <v>154</v>
      </c>
      <c r="U165" s="322">
        <f>P165*R165</f>
        <v>0</v>
      </c>
      <c r="V165" s="322"/>
    </row>
    <row r="166" spans="2:3" ht="12.75">
      <c r="B166" s="133"/>
      <c r="C166" s="128"/>
    </row>
    <row r="167" spans="2:23" s="162" customFormat="1" ht="12.75">
      <c r="B167" s="163"/>
      <c r="C167" s="171"/>
      <c r="P167" s="172">
        <f>P165</f>
        <v>34.697</v>
      </c>
      <c r="Q167" s="167" t="s">
        <v>149</v>
      </c>
      <c r="R167" s="323">
        <v>7.18</v>
      </c>
      <c r="S167" s="323"/>
      <c r="T167" s="168" t="s">
        <v>154</v>
      </c>
      <c r="U167" s="324">
        <f>P167*R167</f>
        <v>249.12446</v>
      </c>
      <c r="V167" s="324"/>
      <c r="W167" s="162" t="s">
        <v>203</v>
      </c>
    </row>
    <row r="169" spans="2:22" ht="12.75">
      <c r="B169" s="134" t="s">
        <v>179</v>
      </c>
      <c r="C169" s="115" t="s">
        <v>180</v>
      </c>
      <c r="D169" s="148">
        <f>N50</f>
        <v>31.1</v>
      </c>
      <c r="E169" s="149" t="s">
        <v>149</v>
      </c>
      <c r="F169" s="150">
        <v>1.27</v>
      </c>
      <c r="G169" s="145" t="s">
        <v>188</v>
      </c>
      <c r="H169" s="169">
        <f>N50-K89</f>
        <v>15.370000000000001</v>
      </c>
      <c r="I169" s="151" t="s">
        <v>154</v>
      </c>
      <c r="J169" s="320">
        <f>ROUND(((D169*F169)-H169),2)</f>
        <v>24.13</v>
      </c>
      <c r="K169" s="320"/>
      <c r="L169" s="145" t="s">
        <v>200</v>
      </c>
      <c r="M169" s="321">
        <v>1.7</v>
      </c>
      <c r="N169" s="321"/>
      <c r="O169" s="158" t="s">
        <v>154</v>
      </c>
      <c r="P169" s="170">
        <f>J169*M169</f>
        <v>41.020999999999994</v>
      </c>
      <c r="Q169" s="149" t="s">
        <v>149</v>
      </c>
      <c r="R169" s="318">
        <v>0</v>
      </c>
      <c r="S169" s="318"/>
      <c r="T169" s="148" t="s">
        <v>154</v>
      </c>
      <c r="U169" s="322">
        <f>P169*R169</f>
        <v>0</v>
      </c>
      <c r="V169" s="322"/>
    </row>
    <row r="170" ht="12.75">
      <c r="B170" s="133"/>
    </row>
    <row r="171" spans="2:23" s="162" customFormat="1" ht="12.75">
      <c r="B171" s="163"/>
      <c r="P171" s="172">
        <v>29.8</v>
      </c>
      <c r="Q171" s="167" t="s">
        <v>149</v>
      </c>
      <c r="R171" s="323">
        <v>7.18</v>
      </c>
      <c r="S171" s="323"/>
      <c r="T171" s="168" t="s">
        <v>154</v>
      </c>
      <c r="U171" s="324">
        <f>P171*R171</f>
        <v>213.964</v>
      </c>
      <c r="V171" s="324"/>
      <c r="W171" s="162" t="s">
        <v>203</v>
      </c>
    </row>
    <row r="172" ht="12.75">
      <c r="B172" s="133"/>
    </row>
    <row r="173" spans="16:23" s="173" customFormat="1" ht="12.75">
      <c r="P173" s="178">
        <f>11.22</f>
        <v>11.22</v>
      </c>
      <c r="Q173" s="176" t="s">
        <v>149</v>
      </c>
      <c r="R173" s="315">
        <v>4.26</v>
      </c>
      <c r="S173" s="315"/>
      <c r="T173" s="177" t="s">
        <v>154</v>
      </c>
      <c r="U173" s="316">
        <f>P173*R173</f>
        <v>47.797200000000004</v>
      </c>
      <c r="V173" s="316"/>
      <c r="W173" s="173" t="s">
        <v>205</v>
      </c>
    </row>
    <row r="175" spans="10:11" ht="12.75">
      <c r="J175" s="317" t="s">
        <v>139</v>
      </c>
      <c r="K175" s="317"/>
    </row>
    <row r="176" spans="2:11" ht="12.75">
      <c r="B176" s="64" t="s">
        <v>207</v>
      </c>
      <c r="F176" s="161">
        <f>U140+U144+U155+U163+U167+U171+U173</f>
        <v>547.69236</v>
      </c>
      <c r="G176" s="160" t="s">
        <v>149</v>
      </c>
      <c r="H176" s="170">
        <f>P140+P144+P155+P163+P167+P171+P173</f>
        <v>120.563</v>
      </c>
      <c r="I176" s="101" t="s">
        <v>154</v>
      </c>
      <c r="J176" s="318">
        <f>F176/H176</f>
        <v>4.542789744780737</v>
      </c>
      <c r="K176" s="318"/>
    </row>
    <row r="178" spans="2:11" ht="12.75">
      <c r="B178" s="64" t="s">
        <v>208</v>
      </c>
      <c r="F178" s="161">
        <f>P136+P151+P159</f>
        <v>614.1970799999999</v>
      </c>
      <c r="G178" s="160" t="s">
        <v>149</v>
      </c>
      <c r="H178" s="170">
        <f>J136+J151+J159</f>
        <v>30.157999999999994</v>
      </c>
      <c r="I178" s="101" t="s">
        <v>154</v>
      </c>
      <c r="J178" s="318">
        <f>F178/H178</f>
        <v>20.36597519729425</v>
      </c>
      <c r="K178" s="318"/>
    </row>
    <row r="181" spans="1:256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157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2.75" customHeight="1">
      <c r="A182"/>
      <c r="B182" s="319" t="s">
        <v>209</v>
      </c>
      <c r="C182" s="319"/>
      <c r="D182" s="319"/>
      <c r="E182" s="319"/>
      <c r="F182" s="319"/>
      <c r="G182" s="319"/>
      <c r="H182" s="319"/>
      <c r="I182" s="319"/>
      <c r="J182" s="319"/>
      <c r="K182" s="319"/>
      <c r="L182" s="319"/>
      <c r="M182" s="319"/>
      <c r="N182" s="319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2.75">
      <c r="A183"/>
      <c r="B183" s="319"/>
      <c r="C183" s="319"/>
      <c r="D183" s="319"/>
      <c r="E183" s="319"/>
      <c r="F183" s="319"/>
      <c r="G183" s="319"/>
      <c r="H183" s="319"/>
      <c r="I183" s="319"/>
      <c r="J183" s="319"/>
      <c r="K183" s="319"/>
      <c r="L183" s="319"/>
      <c r="M183" s="319"/>
      <c r="N183" s="319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>
      <c r="A184"/>
      <c r="B184" s="319"/>
      <c r="C184" s="319"/>
      <c r="D184" s="319"/>
      <c r="E184" s="319"/>
      <c r="F184" s="319"/>
      <c r="G184" s="319"/>
      <c r="H184" s="319"/>
      <c r="I184" s="319"/>
      <c r="J184" s="319"/>
      <c r="K184" s="319"/>
      <c r="L184" s="319"/>
      <c r="M184" s="319"/>
      <c r="N184" s="319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>
      <c r="A185"/>
      <c r="B185" s="319"/>
      <c r="C185" s="319"/>
      <c r="D185" s="319"/>
      <c r="E185" s="319"/>
      <c r="F185" s="319"/>
      <c r="G185" s="319"/>
      <c r="H185" s="319"/>
      <c r="I185" s="319"/>
      <c r="J185" s="319"/>
      <c r="K185" s="319"/>
      <c r="L185" s="319"/>
      <c r="M185" s="319"/>
      <c r="N185" s="319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>
      <c r="A186"/>
      <c r="B186" s="319"/>
      <c r="C186" s="319"/>
      <c r="D186" s="319"/>
      <c r="E186" s="319"/>
      <c r="F186" s="319"/>
      <c r="G186" s="319"/>
      <c r="H186" s="319"/>
      <c r="I186" s="319"/>
      <c r="J186" s="319"/>
      <c r="K186" s="319"/>
      <c r="L186" s="319"/>
      <c r="M186" s="319"/>
      <c r="N186" s="319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>
      <c r="A187"/>
      <c r="B187" s="319"/>
      <c r="C187" s="319"/>
      <c r="D187" s="319"/>
      <c r="E187" s="319"/>
      <c r="F187" s="319"/>
      <c r="G187" s="319"/>
      <c r="H187" s="319"/>
      <c r="I187" s="319"/>
      <c r="J187" s="319"/>
      <c r="K187" s="319"/>
      <c r="L187" s="319"/>
      <c r="M187" s="319"/>
      <c r="N187" s="319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>
      <c r="A188"/>
      <c r="B188" s="319"/>
      <c r="C188" s="319"/>
      <c r="D188" s="319"/>
      <c r="E188" s="319"/>
      <c r="F188" s="319"/>
      <c r="G188" s="319"/>
      <c r="H188" s="319"/>
      <c r="I188" s="319"/>
      <c r="J188" s="319"/>
      <c r="K188" s="319"/>
      <c r="L188" s="319"/>
      <c r="M188" s="319"/>
      <c r="N188" s="319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2.75">
      <c r="A189"/>
      <c r="B189" s="319"/>
      <c r="C189" s="319"/>
      <c r="D189" s="319"/>
      <c r="E189" s="319"/>
      <c r="F189" s="319"/>
      <c r="G189" s="319"/>
      <c r="H189" s="319"/>
      <c r="I189" s="319"/>
      <c r="J189" s="319"/>
      <c r="K189" s="319"/>
      <c r="L189" s="319"/>
      <c r="M189" s="319"/>
      <c r="N189" s="31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157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157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2:15" ht="12.75">
      <c r="B192" s="313" t="s">
        <v>210</v>
      </c>
      <c r="C192" s="313"/>
      <c r="D192" s="313"/>
      <c r="E192" s="313"/>
      <c r="F192" s="313"/>
      <c r="G192" s="313"/>
      <c r="H192" s="313"/>
      <c r="I192" s="313"/>
      <c r="J192" s="313"/>
      <c r="K192" s="313"/>
      <c r="L192" s="313"/>
      <c r="M192" s="313"/>
      <c r="N192" s="313"/>
      <c r="O192" s="313"/>
    </row>
    <row r="193" spans="2:15" ht="12.75"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7"/>
      <c r="O193" s="106"/>
    </row>
    <row r="194" spans="2:15" ht="12.75"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7"/>
      <c r="O194" s="106"/>
    </row>
    <row r="195" spans="2:15" ht="12.75">
      <c r="B195" s="185" t="s">
        <v>211</v>
      </c>
      <c r="C195" s="186"/>
      <c r="D195" s="18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7"/>
      <c r="O195" s="106"/>
    </row>
    <row r="196" spans="2:15" ht="12.75"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7"/>
      <c r="O196" s="106"/>
    </row>
    <row r="197" spans="2:15" ht="12.75" customHeight="1">
      <c r="B197" s="314" t="s">
        <v>142</v>
      </c>
      <c r="C197" s="314"/>
      <c r="D197" s="314"/>
      <c r="E197" s="104"/>
      <c r="F197" s="105"/>
      <c r="G197" s="105"/>
      <c r="H197" s="105"/>
      <c r="I197" s="105"/>
      <c r="J197" s="105"/>
      <c r="K197" s="105"/>
      <c r="L197" s="105"/>
      <c r="M197" s="106"/>
      <c r="N197" s="107"/>
      <c r="O197" s="106"/>
    </row>
    <row r="198" spans="2:15" ht="12.75">
      <c r="B198" s="103"/>
      <c r="C198" s="103"/>
      <c r="D198" s="103"/>
      <c r="E198" s="104"/>
      <c r="F198" s="105"/>
      <c r="G198" s="105"/>
      <c r="H198" s="105"/>
      <c r="I198" s="105"/>
      <c r="J198" s="105"/>
      <c r="K198" s="105"/>
      <c r="L198" s="105"/>
      <c r="M198" s="106"/>
      <c r="N198" s="107"/>
      <c r="O198" s="106"/>
    </row>
    <row r="199" spans="2:15" ht="12.75" customHeight="1">
      <c r="B199" s="314" t="s">
        <v>143</v>
      </c>
      <c r="C199" s="314"/>
      <c r="D199" s="314"/>
      <c r="E199" s="314"/>
      <c r="F199" s="314"/>
      <c r="G199" s="314"/>
      <c r="H199" s="314"/>
      <c r="I199" s="314"/>
      <c r="J199" s="314"/>
      <c r="K199" s="314"/>
      <c r="L199" s="314"/>
      <c r="M199" s="106"/>
      <c r="N199" s="107"/>
      <c r="O199" s="106"/>
    </row>
    <row r="200" spans="2:15" ht="12.75">
      <c r="B200" s="314"/>
      <c r="C200" s="314"/>
      <c r="D200" s="314"/>
      <c r="E200" s="314"/>
      <c r="F200" s="314"/>
      <c r="G200" s="314"/>
      <c r="H200" s="314"/>
      <c r="I200" s="314"/>
      <c r="J200" s="314"/>
      <c r="K200" s="314"/>
      <c r="L200" s="314"/>
      <c r="M200" s="106"/>
      <c r="N200" s="107"/>
      <c r="O200" s="106"/>
    </row>
    <row r="201" spans="2:15" ht="12.75"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6"/>
      <c r="N201" s="107"/>
      <c r="O201" s="106"/>
    </row>
    <row r="202" spans="2:15" ht="12.75" customHeight="1">
      <c r="B202" s="314" t="s">
        <v>144</v>
      </c>
      <c r="C202" s="314"/>
      <c r="D202" s="314"/>
      <c r="E202" s="314"/>
      <c r="F202" s="314"/>
      <c r="G202" s="314"/>
      <c r="H202" s="314"/>
      <c r="I202" s="314"/>
      <c r="J202" s="314"/>
      <c r="K202" s="314"/>
      <c r="L202" s="314"/>
      <c r="M202" s="106"/>
      <c r="N202" s="107"/>
      <c r="O202" s="106"/>
    </row>
    <row r="203" spans="2:15" ht="12.75">
      <c r="B203" s="314"/>
      <c r="C203" s="314"/>
      <c r="D203" s="314"/>
      <c r="E203" s="314"/>
      <c r="F203" s="314"/>
      <c r="G203" s="314"/>
      <c r="H203" s="314"/>
      <c r="I203" s="314"/>
      <c r="J203" s="314"/>
      <c r="K203" s="314"/>
      <c r="L203" s="314"/>
      <c r="M203" s="106"/>
      <c r="N203" s="107"/>
      <c r="O203" s="106"/>
    </row>
    <row r="204" spans="2:15" ht="12.75"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6"/>
      <c r="N204" s="107"/>
      <c r="O204" s="106"/>
    </row>
    <row r="205" spans="2:15" ht="12.75" customHeight="1">
      <c r="B205" s="314" t="s">
        <v>145</v>
      </c>
      <c r="C205" s="314"/>
      <c r="D205" s="314"/>
      <c r="E205" s="314"/>
      <c r="F205" s="314"/>
      <c r="G205" s="314"/>
      <c r="H205" s="314"/>
      <c r="I205" s="314"/>
      <c r="J205" s="314"/>
      <c r="K205" s="314"/>
      <c r="L205" s="314"/>
      <c r="M205" s="106"/>
      <c r="N205" s="107"/>
      <c r="O205" s="106"/>
    </row>
    <row r="206" spans="2:15" ht="12.75">
      <c r="B206" s="314"/>
      <c r="C206" s="314"/>
      <c r="D206" s="314"/>
      <c r="E206" s="314"/>
      <c r="F206" s="314"/>
      <c r="G206" s="314"/>
      <c r="H206" s="314"/>
      <c r="I206" s="314"/>
      <c r="J206" s="314"/>
      <c r="K206" s="314"/>
      <c r="L206" s="314"/>
      <c r="M206" s="110"/>
      <c r="N206" s="111"/>
      <c r="O206" s="110"/>
    </row>
    <row r="207" spans="2:15" ht="12.75">
      <c r="B207" s="314"/>
      <c r="C207" s="314"/>
      <c r="D207" s="314"/>
      <c r="E207" s="314"/>
      <c r="F207" s="314"/>
      <c r="G207" s="314"/>
      <c r="H207" s="314"/>
      <c r="I207" s="314"/>
      <c r="J207" s="314"/>
      <c r="K207" s="314"/>
      <c r="L207" s="314"/>
      <c r="M207" s="110"/>
      <c r="N207" s="111"/>
      <c r="O207" s="110"/>
    </row>
    <row r="208" spans="2:15" ht="12.75"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10"/>
      <c r="N208" s="111"/>
      <c r="O208" s="110"/>
    </row>
    <row r="209" spans="2:15" ht="12.75">
      <c r="B209" s="112" t="s">
        <v>212</v>
      </c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10"/>
      <c r="N209" s="111"/>
      <c r="O209" s="110"/>
    </row>
    <row r="210" spans="2:15" s="187" customFormat="1" ht="12.75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10"/>
      <c r="N210" s="111"/>
      <c r="O210" s="110"/>
    </row>
    <row r="211" spans="2:15" s="187" customFormat="1" ht="12.75">
      <c r="B211" s="113"/>
      <c r="C211" s="114"/>
      <c r="D211" s="114" t="s">
        <v>147</v>
      </c>
      <c r="E211" s="307" t="s">
        <v>148</v>
      </c>
      <c r="F211" s="307"/>
      <c r="G211" s="114" t="s">
        <v>149</v>
      </c>
      <c r="H211" s="307" t="s">
        <v>150</v>
      </c>
      <c r="I211" s="307"/>
      <c r="J211" s="307"/>
      <c r="K211" s="114" t="s">
        <v>149</v>
      </c>
      <c r="L211" s="116" t="s">
        <v>151</v>
      </c>
      <c r="M211" s="117"/>
      <c r="N211" s="114"/>
      <c r="O211" s="114"/>
    </row>
    <row r="212" spans="2:15" s="187" customFormat="1" ht="12.75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6"/>
      <c r="M212" s="117"/>
      <c r="N212" s="114"/>
      <c r="O212" s="114"/>
    </row>
    <row r="213" spans="2:16" s="188" customFormat="1" ht="15" customHeight="1">
      <c r="B213" s="119"/>
      <c r="C213" s="189" t="s">
        <v>213</v>
      </c>
      <c r="D213" s="123" t="s">
        <v>153</v>
      </c>
      <c r="E213" s="305">
        <v>7</v>
      </c>
      <c r="F213" s="305"/>
      <c r="G213" s="123" t="s">
        <v>149</v>
      </c>
      <c r="H213" s="124">
        <f>ROUND((0.8+0.1+0.1),2)</f>
        <v>1</v>
      </c>
      <c r="I213" s="123" t="s">
        <v>132</v>
      </c>
      <c r="J213" s="125">
        <v>0.6</v>
      </c>
      <c r="K213" s="123" t="s">
        <v>149</v>
      </c>
      <c r="L213" s="122">
        <v>0</v>
      </c>
      <c r="M213" s="123" t="s">
        <v>154</v>
      </c>
      <c r="N213" s="306">
        <f>ROUND(E213*(H213+J213)*L213,2)</f>
        <v>0</v>
      </c>
      <c r="O213" s="306"/>
      <c r="P213" s="188" t="s">
        <v>214</v>
      </c>
    </row>
    <row r="214" spans="2:15" s="188" customFormat="1" ht="15" customHeight="1">
      <c r="B214" s="119"/>
      <c r="C214" s="190" t="s">
        <v>138</v>
      </c>
      <c r="D214" s="190"/>
      <c r="E214" s="190"/>
      <c r="F214" s="122"/>
      <c r="G214" s="123"/>
      <c r="H214" s="124"/>
      <c r="I214" s="123"/>
      <c r="J214" s="125"/>
      <c r="K214" s="123"/>
      <c r="L214" s="122"/>
      <c r="M214" s="123"/>
      <c r="N214" s="126"/>
      <c r="O214" s="126"/>
    </row>
    <row r="215" spans="2:15" s="188" customFormat="1" ht="15" customHeight="1">
      <c r="B215" s="119"/>
      <c r="C215" s="189"/>
      <c r="D215" s="123"/>
      <c r="E215" s="122"/>
      <c r="F215" s="122"/>
      <c r="G215" s="123"/>
      <c r="H215" s="124"/>
      <c r="I215" s="123"/>
      <c r="J215" s="125"/>
      <c r="K215" s="123"/>
      <c r="L215" s="122"/>
      <c r="M215" s="123"/>
      <c r="N215" s="126"/>
      <c r="O215" s="126"/>
    </row>
    <row r="216" spans="3:16" s="191" customFormat="1" ht="12.75">
      <c r="C216" s="189" t="s">
        <v>215</v>
      </c>
      <c r="D216" s="123" t="s">
        <v>158</v>
      </c>
      <c r="E216" s="305">
        <v>8</v>
      </c>
      <c r="F216" s="305"/>
      <c r="G216" s="123" t="s">
        <v>149</v>
      </c>
      <c r="H216" s="124">
        <f>ROUND((0.8+0.1+0.1),2)</f>
        <v>1</v>
      </c>
      <c r="I216" s="123" t="s">
        <v>132</v>
      </c>
      <c r="J216" s="125">
        <v>0.6</v>
      </c>
      <c r="K216" s="123" t="s">
        <v>149</v>
      </c>
      <c r="L216" s="122">
        <v>0</v>
      </c>
      <c r="M216" s="123" t="s">
        <v>154</v>
      </c>
      <c r="N216" s="306">
        <f>ROUND(E216*(H216+J216)*L216,2)</f>
        <v>0</v>
      </c>
      <c r="O216" s="306"/>
      <c r="P216" s="188" t="s">
        <v>214</v>
      </c>
    </row>
    <row r="217" spans="3:13" s="191" customFormat="1" ht="12.75">
      <c r="C217" s="190" t="s">
        <v>138</v>
      </c>
      <c r="G217" s="123"/>
      <c r="I217" s="123"/>
      <c r="K217" s="123"/>
      <c r="M217" s="123"/>
    </row>
    <row r="218" spans="3:13" s="191" customFormat="1" ht="12.75">
      <c r="C218" s="189"/>
      <c r="G218" s="123"/>
      <c r="I218" s="123"/>
      <c r="K218" s="123"/>
      <c r="M218" s="123"/>
    </row>
    <row r="219" spans="3:16" s="188" customFormat="1" ht="12.75">
      <c r="C219" s="189" t="s">
        <v>216</v>
      </c>
      <c r="D219" s="123" t="s">
        <v>161</v>
      </c>
      <c r="E219" s="305">
        <v>7</v>
      </c>
      <c r="F219" s="305"/>
      <c r="G219" s="123" t="s">
        <v>149</v>
      </c>
      <c r="H219" s="124">
        <f>ROUND((0.8+0.1+0.1),2)</f>
        <v>1</v>
      </c>
      <c r="I219" s="123" t="s">
        <v>132</v>
      </c>
      <c r="J219" s="125">
        <v>0.6</v>
      </c>
      <c r="K219" s="123" t="s">
        <v>149</v>
      </c>
      <c r="L219" s="122">
        <v>0</v>
      </c>
      <c r="M219" s="123" t="s">
        <v>154</v>
      </c>
      <c r="N219" s="306">
        <f>ROUND(E219*(H219+J219)*L219,2)</f>
        <v>0</v>
      </c>
      <c r="O219" s="306"/>
      <c r="P219" s="188" t="s">
        <v>214</v>
      </c>
    </row>
    <row r="220" spans="3:13" s="188" customFormat="1" ht="12.75">
      <c r="C220" s="190" t="s">
        <v>138</v>
      </c>
      <c r="G220" s="123"/>
      <c r="I220" s="123"/>
      <c r="K220" s="123"/>
      <c r="M220" s="123"/>
    </row>
    <row r="221" spans="3:13" s="187" customFormat="1" ht="12.75">
      <c r="C221" s="192"/>
      <c r="G221" s="114"/>
      <c r="I221" s="114"/>
      <c r="K221" s="114"/>
      <c r="M221" s="114"/>
    </row>
    <row r="222" spans="3:15" s="187" customFormat="1" ht="12.75">
      <c r="C222" s="192" t="s">
        <v>217</v>
      </c>
      <c r="D222" s="114" t="s">
        <v>163</v>
      </c>
      <c r="E222" s="304">
        <v>18</v>
      </c>
      <c r="F222" s="304"/>
      <c r="G222" s="114" t="s">
        <v>149</v>
      </c>
      <c r="H222" s="131">
        <f>ROUND((0.8+0.1+0.1),2)</f>
        <v>1</v>
      </c>
      <c r="I222" s="114" t="s">
        <v>132</v>
      </c>
      <c r="J222" s="132">
        <v>0.6</v>
      </c>
      <c r="K222" s="114" t="s">
        <v>149</v>
      </c>
      <c r="L222" s="129">
        <v>0</v>
      </c>
      <c r="M222" s="114" t="s">
        <v>154</v>
      </c>
      <c r="N222" s="289">
        <f>ROUND(E222*(H222+J222)*L222,2)</f>
        <v>0</v>
      </c>
      <c r="O222" s="289"/>
    </row>
    <row r="223" spans="3:13" s="187" customFormat="1" ht="12.75">
      <c r="C223" s="193" t="s">
        <v>138</v>
      </c>
      <c r="G223" s="114"/>
      <c r="I223" s="114"/>
      <c r="J223" s="125"/>
      <c r="K223" s="114"/>
      <c r="M223" s="114"/>
    </row>
    <row r="224" spans="3:13" s="187" customFormat="1" ht="12.75">
      <c r="C224" s="192"/>
      <c r="G224" s="114"/>
      <c r="I224" s="114"/>
      <c r="J224" s="125"/>
      <c r="K224" s="114"/>
      <c r="M224" s="114"/>
    </row>
    <row r="225" spans="3:16" s="188" customFormat="1" ht="12.75">
      <c r="C225" s="189" t="s">
        <v>218</v>
      </c>
      <c r="D225" s="123" t="s">
        <v>166</v>
      </c>
      <c r="E225" s="305">
        <v>7</v>
      </c>
      <c r="F225" s="305"/>
      <c r="G225" s="123" t="s">
        <v>149</v>
      </c>
      <c r="H225" s="124">
        <f>ROUND((0.8+0.1+0.1),2)</f>
        <v>1</v>
      </c>
      <c r="I225" s="123" t="s">
        <v>132</v>
      </c>
      <c r="J225" s="125">
        <v>0.6</v>
      </c>
      <c r="K225" s="123" t="s">
        <v>149</v>
      </c>
      <c r="L225" s="122">
        <v>0</v>
      </c>
      <c r="M225" s="123" t="s">
        <v>154</v>
      </c>
      <c r="N225" s="306">
        <f>ROUND(E225*(H225+J225)*L225,2)</f>
        <v>0</v>
      </c>
      <c r="O225" s="306"/>
      <c r="P225" s="188" t="s">
        <v>214</v>
      </c>
    </row>
    <row r="226" spans="3:13" s="188" customFormat="1" ht="12.75">
      <c r="C226" s="190" t="s">
        <v>138</v>
      </c>
      <c r="G226" s="123"/>
      <c r="I226" s="123"/>
      <c r="J226" s="191"/>
      <c r="K226" s="123"/>
      <c r="M226" s="123"/>
    </row>
    <row r="227" spans="3:13" s="188" customFormat="1" ht="12.75">
      <c r="C227" s="189"/>
      <c r="G227" s="123"/>
      <c r="I227" s="123"/>
      <c r="J227" s="191"/>
      <c r="K227" s="123"/>
      <c r="M227" s="123"/>
    </row>
    <row r="228" spans="3:16" s="188" customFormat="1" ht="12.75">
      <c r="C228" s="189" t="s">
        <v>219</v>
      </c>
      <c r="D228" s="123" t="s">
        <v>169</v>
      </c>
      <c r="E228" s="305">
        <v>7</v>
      </c>
      <c r="F228" s="305"/>
      <c r="G228" s="123" t="s">
        <v>149</v>
      </c>
      <c r="H228" s="124">
        <f>ROUND((0.8+0.1+0.1),2)</f>
        <v>1</v>
      </c>
      <c r="I228" s="123" t="s">
        <v>132</v>
      </c>
      <c r="J228" s="125">
        <v>0.6</v>
      </c>
      <c r="K228" s="123" t="s">
        <v>149</v>
      </c>
      <c r="L228" s="122">
        <v>0</v>
      </c>
      <c r="M228" s="123" t="s">
        <v>154</v>
      </c>
      <c r="N228" s="306">
        <f>ROUND(E228*(H228+J228)*L228,2)</f>
        <v>0</v>
      </c>
      <c r="O228" s="306"/>
      <c r="P228" s="188" t="s">
        <v>214</v>
      </c>
    </row>
    <row r="229" spans="3:13" s="188" customFormat="1" ht="12.75">
      <c r="C229" s="190" t="s">
        <v>138</v>
      </c>
      <c r="G229" s="123"/>
      <c r="M229" s="123"/>
    </row>
    <row r="230" spans="7:13" s="188" customFormat="1" ht="12.75">
      <c r="G230" s="123"/>
      <c r="J230" s="187"/>
      <c r="M230" s="123"/>
    </row>
    <row r="231" spans="3:16" s="188" customFormat="1" ht="12.75">
      <c r="C231" s="188" t="s">
        <v>220</v>
      </c>
      <c r="D231" s="123" t="s">
        <v>172</v>
      </c>
      <c r="E231" s="305">
        <v>7</v>
      </c>
      <c r="F231" s="305"/>
      <c r="G231" s="123" t="s">
        <v>149</v>
      </c>
      <c r="H231" s="124">
        <f>ROUND((0.8+0.1+0.1),2)</f>
        <v>1</v>
      </c>
      <c r="I231" s="123" t="s">
        <v>132</v>
      </c>
      <c r="J231" s="125">
        <v>0.6</v>
      </c>
      <c r="K231" s="123" t="s">
        <v>149</v>
      </c>
      <c r="L231" s="122">
        <v>0</v>
      </c>
      <c r="M231" s="123" t="s">
        <v>154</v>
      </c>
      <c r="N231" s="306">
        <f>ROUND(E231*(H231+J231)*L231,2)</f>
        <v>0</v>
      </c>
      <c r="O231" s="306"/>
      <c r="P231" s="188" t="s">
        <v>214</v>
      </c>
    </row>
    <row r="232" spans="3:10" s="118" customFormat="1" ht="12.75">
      <c r="C232" s="190" t="s">
        <v>138</v>
      </c>
      <c r="J232" s="125"/>
    </row>
    <row r="233" ht="12.75">
      <c r="J233" s="125"/>
    </row>
    <row r="234" spans="3:15" ht="12.75">
      <c r="C234" s="192" t="s">
        <v>218</v>
      </c>
      <c r="D234" s="114" t="s">
        <v>174</v>
      </c>
      <c r="E234" s="304">
        <v>23</v>
      </c>
      <c r="F234" s="304"/>
      <c r="G234" s="114" t="s">
        <v>149</v>
      </c>
      <c r="H234" s="131">
        <f>ROUND((1.2+0.13+0.13),2)</f>
        <v>1.46</v>
      </c>
      <c r="I234" s="114" t="s">
        <v>132</v>
      </c>
      <c r="J234" s="132">
        <v>0.6</v>
      </c>
      <c r="K234" s="114" t="s">
        <v>149</v>
      </c>
      <c r="L234" s="129">
        <v>0.3</v>
      </c>
      <c r="M234" s="114" t="s">
        <v>154</v>
      </c>
      <c r="N234" s="289">
        <f>ROUND(E234*(H234+J234)*L234,2)</f>
        <v>14.21</v>
      </c>
      <c r="O234" s="289"/>
    </row>
    <row r="235" spans="3:13" ht="12.75">
      <c r="C235" s="193" t="s">
        <v>221</v>
      </c>
      <c r="G235" s="114"/>
      <c r="J235" s="194"/>
      <c r="M235" s="114"/>
    </row>
    <row r="236" spans="3:13" ht="12.75">
      <c r="C236" s="192"/>
      <c r="G236" s="114"/>
      <c r="J236" s="194"/>
      <c r="M236" s="114"/>
    </row>
    <row r="237" spans="3:15" ht="12.75">
      <c r="C237" s="193" t="s">
        <v>222</v>
      </c>
      <c r="D237" s="114" t="s">
        <v>176</v>
      </c>
      <c r="E237" s="304">
        <v>22</v>
      </c>
      <c r="F237" s="304"/>
      <c r="G237" s="114" t="s">
        <v>149</v>
      </c>
      <c r="H237" s="131">
        <f>ROUND((1.2+0.13+0.13),2)</f>
        <v>1.46</v>
      </c>
      <c r="I237" s="114" t="s">
        <v>132</v>
      </c>
      <c r="J237" s="132">
        <v>0.6</v>
      </c>
      <c r="K237" s="114" t="s">
        <v>149</v>
      </c>
      <c r="L237" s="129">
        <v>0.3</v>
      </c>
      <c r="M237" s="114" t="s">
        <v>154</v>
      </c>
      <c r="N237" s="289">
        <f>ROUND(E237*(H237+J237)*L237,2)</f>
        <v>13.6</v>
      </c>
      <c r="O237" s="289"/>
    </row>
    <row r="238" spans="3:13" ht="12.75">
      <c r="C238" s="193" t="s">
        <v>221</v>
      </c>
      <c r="G238" s="114"/>
      <c r="J238" s="187"/>
      <c r="M238" s="114"/>
    </row>
    <row r="239" spans="3:13" ht="12.75">
      <c r="C239" s="193"/>
      <c r="G239" s="114"/>
      <c r="J239" s="187"/>
      <c r="M239" s="114"/>
    </row>
    <row r="240" spans="3:15" ht="12.75">
      <c r="C240" s="192" t="s">
        <v>223</v>
      </c>
      <c r="D240" s="114" t="s">
        <v>224</v>
      </c>
      <c r="E240" s="304">
        <v>21</v>
      </c>
      <c r="F240" s="304"/>
      <c r="G240" s="114" t="s">
        <v>149</v>
      </c>
      <c r="H240" s="131">
        <f>ROUND((1.2+0.13+0.13),2)</f>
        <v>1.46</v>
      </c>
      <c r="I240" s="114" t="s">
        <v>132</v>
      </c>
      <c r="J240" s="132">
        <v>0.6</v>
      </c>
      <c r="K240" s="114" t="s">
        <v>149</v>
      </c>
      <c r="L240" s="129">
        <v>0.3</v>
      </c>
      <c r="M240" s="114" t="s">
        <v>154</v>
      </c>
      <c r="N240" s="289">
        <f>ROUND(E240*(H240+J240)*L240,2)</f>
        <v>12.98</v>
      </c>
      <c r="O240" s="289"/>
    </row>
    <row r="241" spans="3:13" ht="12.75">
      <c r="C241" s="193" t="s">
        <v>221</v>
      </c>
      <c r="J241" s="132"/>
      <c r="M241" s="114"/>
    </row>
    <row r="242" spans="3:13" ht="12.75">
      <c r="C242" s="192"/>
      <c r="J242" s="132"/>
      <c r="M242" s="114"/>
    </row>
    <row r="243" spans="3:15" ht="12.75">
      <c r="C243" s="193" t="s">
        <v>225</v>
      </c>
      <c r="D243" s="114" t="s">
        <v>180</v>
      </c>
      <c r="E243" s="304">
        <v>18</v>
      </c>
      <c r="F243" s="304"/>
      <c r="G243" s="114" t="s">
        <v>149</v>
      </c>
      <c r="H243" s="131">
        <f>ROUND((1.2+0.13+0.13),2)</f>
        <v>1.46</v>
      </c>
      <c r="I243" s="114" t="s">
        <v>132</v>
      </c>
      <c r="J243" s="132">
        <v>0.6</v>
      </c>
      <c r="K243" s="114" t="s">
        <v>149</v>
      </c>
      <c r="L243" s="129">
        <v>0.3</v>
      </c>
      <c r="M243" s="114" t="s">
        <v>154</v>
      </c>
      <c r="N243" s="289">
        <f>ROUND(E243*(H243+J243)*L243,2)</f>
        <v>11.12</v>
      </c>
      <c r="O243" s="289"/>
    </row>
    <row r="244" spans="3:13" ht="12.75">
      <c r="C244" s="193" t="s">
        <v>221</v>
      </c>
      <c r="M244" s="114"/>
    </row>
    <row r="245" spans="3:13" ht="12.75">
      <c r="C245" s="193"/>
      <c r="M245" s="114"/>
    </row>
    <row r="246" spans="3:15" ht="12.75">
      <c r="C246" s="193" t="s">
        <v>226</v>
      </c>
      <c r="D246" s="114" t="s">
        <v>227</v>
      </c>
      <c r="E246" s="304">
        <v>27</v>
      </c>
      <c r="F246" s="304"/>
      <c r="G246" s="114" t="s">
        <v>149</v>
      </c>
      <c r="H246" s="131">
        <f>ROUND(((1+0.12+0.12)*3),2)</f>
        <v>3.72</v>
      </c>
      <c r="I246" s="114" t="s">
        <v>132</v>
      </c>
      <c r="J246" s="132">
        <v>0.6</v>
      </c>
      <c r="K246" s="114" t="s">
        <v>149</v>
      </c>
      <c r="L246" s="129">
        <v>1.25</v>
      </c>
      <c r="M246" s="114" t="s">
        <v>154</v>
      </c>
      <c r="N246" s="289">
        <f>ROUND(E246*(H246+J246)*L246,2)</f>
        <v>145.8</v>
      </c>
      <c r="O246" s="289"/>
    </row>
    <row r="247" spans="3:13" ht="12.75">
      <c r="C247" s="193" t="s">
        <v>228</v>
      </c>
      <c r="M247" s="114"/>
    </row>
    <row r="249" spans="3:15" ht="12.75">
      <c r="C249" s="193" t="s">
        <v>157</v>
      </c>
      <c r="D249" s="114" t="s">
        <v>229</v>
      </c>
      <c r="E249" s="304">
        <v>38</v>
      </c>
      <c r="F249" s="304"/>
      <c r="G249" s="114" t="s">
        <v>149</v>
      </c>
      <c r="H249" s="131">
        <f>ROUND(((1+0.12+0.12)*3),2)</f>
        <v>3.72</v>
      </c>
      <c r="I249" s="114" t="s">
        <v>132</v>
      </c>
      <c r="J249" s="132">
        <v>0.6</v>
      </c>
      <c r="K249" s="114" t="s">
        <v>149</v>
      </c>
      <c r="L249" s="129">
        <v>0.25</v>
      </c>
      <c r="M249" s="114" t="s">
        <v>154</v>
      </c>
      <c r="N249" s="289">
        <f>ROUND(E249*(H249+J249)*L249,2)</f>
        <v>41.04</v>
      </c>
      <c r="O249" s="289"/>
    </row>
    <row r="250" spans="3:13" ht="12.75">
      <c r="C250" s="193" t="s">
        <v>228</v>
      </c>
      <c r="M250" s="114"/>
    </row>
    <row r="252" spans="3:15" ht="12.75">
      <c r="C252" s="193" t="s">
        <v>230</v>
      </c>
      <c r="D252" s="114" t="s">
        <v>231</v>
      </c>
      <c r="E252" s="304">
        <v>22.1</v>
      </c>
      <c r="F252" s="304"/>
      <c r="G252" s="114" t="s">
        <v>149</v>
      </c>
      <c r="H252" s="131">
        <f>ROUND(((1.2+0.13+0.13)*3),2)</f>
        <v>4.38</v>
      </c>
      <c r="I252" s="114" t="s">
        <v>132</v>
      </c>
      <c r="J252" s="132">
        <v>0.6</v>
      </c>
      <c r="K252" s="114" t="s">
        <v>149</v>
      </c>
      <c r="L252" s="129">
        <v>0.3</v>
      </c>
      <c r="M252" s="114" t="s">
        <v>154</v>
      </c>
      <c r="N252" s="289">
        <f>ROUND(E252*(H252+J252)*L252,2)</f>
        <v>33.02</v>
      </c>
      <c r="O252" s="289"/>
    </row>
    <row r="253" spans="3:13" ht="12.75">
      <c r="C253" s="193" t="s">
        <v>232</v>
      </c>
      <c r="M253" s="114"/>
    </row>
    <row r="255" spans="3:15" ht="12.75">
      <c r="C255" s="193" t="s">
        <v>233</v>
      </c>
      <c r="D255" s="114" t="s">
        <v>234</v>
      </c>
      <c r="E255" s="304">
        <v>23</v>
      </c>
      <c r="F255" s="304"/>
      <c r="G255" s="114" t="s">
        <v>149</v>
      </c>
      <c r="H255" s="131">
        <f>ROUND(((1.5+0.14+0.14)*3),2)</f>
        <v>5.34</v>
      </c>
      <c r="I255" s="114" t="s">
        <v>132</v>
      </c>
      <c r="J255" s="132">
        <v>0.6</v>
      </c>
      <c r="K255" s="114" t="s">
        <v>149</v>
      </c>
      <c r="L255" s="129">
        <v>1.38</v>
      </c>
      <c r="M255" s="114" t="s">
        <v>154</v>
      </c>
      <c r="N255" s="289">
        <f>ROUND(E255*(H255+J255)*L255,2)</f>
        <v>188.54</v>
      </c>
      <c r="O255" s="289"/>
    </row>
    <row r="256" spans="3:13" ht="12.75">
      <c r="C256" s="193" t="s">
        <v>235</v>
      </c>
      <c r="M256" s="114"/>
    </row>
    <row r="258" spans="3:15" ht="12.75">
      <c r="C258" s="193" t="s">
        <v>236</v>
      </c>
      <c r="D258" s="114" t="s">
        <v>237</v>
      </c>
      <c r="E258" s="304">
        <v>23</v>
      </c>
      <c r="F258" s="304"/>
      <c r="G258" s="114" t="s">
        <v>149</v>
      </c>
      <c r="H258" s="131">
        <f>ROUND(((1.5+0.14+0.14)*3),2)</f>
        <v>5.34</v>
      </c>
      <c r="I258" s="114" t="s">
        <v>132</v>
      </c>
      <c r="J258" s="132">
        <v>0.6</v>
      </c>
      <c r="K258" s="114" t="s">
        <v>149</v>
      </c>
      <c r="L258" s="129">
        <v>0.38</v>
      </c>
      <c r="M258" s="114" t="s">
        <v>154</v>
      </c>
      <c r="N258" s="289">
        <f>ROUND(E258*(H258+J258)*L258,2)</f>
        <v>51.92</v>
      </c>
      <c r="O258" s="289"/>
    </row>
    <row r="259" spans="3:13" ht="12.75">
      <c r="C259" s="193" t="s">
        <v>235</v>
      </c>
      <c r="M259" s="114"/>
    </row>
    <row r="261" spans="3:15" s="187" customFormat="1" ht="12.75">
      <c r="C261" s="193" t="s">
        <v>238</v>
      </c>
      <c r="D261" s="114" t="s">
        <v>239</v>
      </c>
      <c r="E261" s="304">
        <v>17</v>
      </c>
      <c r="F261" s="304"/>
      <c r="G261" s="114" t="s">
        <v>149</v>
      </c>
      <c r="H261" s="131">
        <f>ROUND(((1.5+0.14+0.14)*3),2)</f>
        <v>5.34</v>
      </c>
      <c r="I261" s="114" t="s">
        <v>132</v>
      </c>
      <c r="J261" s="132">
        <v>0.6</v>
      </c>
      <c r="K261" s="114" t="s">
        <v>149</v>
      </c>
      <c r="L261" s="129">
        <v>0.4</v>
      </c>
      <c r="M261" s="114" t="s">
        <v>154</v>
      </c>
      <c r="N261" s="289">
        <f>ROUND(E261*(H261+J261)*L261,2)</f>
        <v>40.39</v>
      </c>
      <c r="O261" s="289"/>
    </row>
    <row r="262" s="187" customFormat="1" ht="12.75">
      <c r="C262" s="193" t="s">
        <v>240</v>
      </c>
    </row>
    <row r="263" s="187" customFormat="1" ht="12.75">
      <c r="C263" s="193"/>
    </row>
    <row r="264" spans="3:15" s="187" customFormat="1" ht="12.75">
      <c r="C264" s="193" t="s">
        <v>241</v>
      </c>
      <c r="D264" s="114" t="s">
        <v>242</v>
      </c>
      <c r="E264" s="304">
        <v>16</v>
      </c>
      <c r="F264" s="304"/>
      <c r="G264" s="114" t="s">
        <v>149</v>
      </c>
      <c r="H264" s="131">
        <f>2+0.15+0.15</f>
        <v>2.3</v>
      </c>
      <c r="I264" s="114" t="s">
        <v>132</v>
      </c>
      <c r="J264" s="132">
        <v>0.6</v>
      </c>
      <c r="K264" s="114" t="s">
        <v>149</v>
      </c>
      <c r="L264" s="129">
        <v>0</v>
      </c>
      <c r="M264" s="114" t="s">
        <v>154</v>
      </c>
      <c r="N264" s="289">
        <f>ROUND(E264*(H264+J264)*L264,2)</f>
        <v>0</v>
      </c>
      <c r="O264" s="289"/>
    </row>
    <row r="265" s="187" customFormat="1" ht="12.75">
      <c r="C265" s="193" t="s">
        <v>240</v>
      </c>
    </row>
    <row r="266" s="187" customFormat="1" ht="12.75">
      <c r="C266" s="193"/>
    </row>
    <row r="267" spans="3:15" s="187" customFormat="1" ht="12.75">
      <c r="C267" s="193" t="s">
        <v>243</v>
      </c>
      <c r="D267" s="114" t="s">
        <v>244</v>
      </c>
      <c r="E267" s="304">
        <v>16</v>
      </c>
      <c r="F267" s="304"/>
      <c r="G267" s="114" t="s">
        <v>149</v>
      </c>
      <c r="H267" s="131">
        <f>2+0.15+0.15</f>
        <v>2.3</v>
      </c>
      <c r="I267" s="114" t="s">
        <v>132</v>
      </c>
      <c r="J267" s="132">
        <v>0.6</v>
      </c>
      <c r="K267" s="114" t="s">
        <v>149</v>
      </c>
      <c r="L267" s="129">
        <v>0</v>
      </c>
      <c r="M267" s="114" t="s">
        <v>154</v>
      </c>
      <c r="N267" s="289">
        <f>ROUND(E267*(H267+J267)*L267,2)</f>
        <v>0</v>
      </c>
      <c r="O267" s="289"/>
    </row>
    <row r="268" s="187" customFormat="1" ht="12.75">
      <c r="C268" s="193" t="s">
        <v>240</v>
      </c>
    </row>
    <row r="269" ht="12.75">
      <c r="C269" s="193"/>
    </row>
    <row r="270" spans="3:15" s="187" customFormat="1" ht="12.75">
      <c r="C270" s="193" t="s">
        <v>245</v>
      </c>
      <c r="D270" s="114" t="s">
        <v>246</v>
      </c>
      <c r="E270" s="304">
        <v>20</v>
      </c>
      <c r="F270" s="304"/>
      <c r="G270" s="114" t="s">
        <v>149</v>
      </c>
      <c r="H270" s="131">
        <f>6.6+0.15+0.15</f>
        <v>6.9</v>
      </c>
      <c r="I270" s="114" t="s">
        <v>132</v>
      </c>
      <c r="J270" s="132">
        <v>0.6</v>
      </c>
      <c r="K270" s="114" t="s">
        <v>149</v>
      </c>
      <c r="L270" s="129">
        <v>1</v>
      </c>
      <c r="M270" s="114" t="s">
        <v>154</v>
      </c>
      <c r="N270" s="289">
        <f>ROUND(E270*(H270+J270)*L270,2)</f>
        <v>150</v>
      </c>
      <c r="O270" s="289"/>
    </row>
    <row r="271" s="187" customFormat="1" ht="12.75">
      <c r="C271" s="193" t="s">
        <v>247</v>
      </c>
    </row>
    <row r="272" ht="12.75">
      <c r="C272" s="193"/>
    </row>
    <row r="273" spans="4:7" ht="12.75">
      <c r="D273" s="146" t="s">
        <v>248</v>
      </c>
      <c r="E273" s="312">
        <f>SUM(N213:O270)</f>
        <v>702.6199999999999</v>
      </c>
      <c r="F273" s="312"/>
      <c r="G273" s="195" t="s">
        <v>249</v>
      </c>
    </row>
    <row r="276" spans="1:14" ht="12.75">
      <c r="A276" s="196"/>
      <c r="B276" s="136" t="s">
        <v>250</v>
      </c>
      <c r="D276" s="115"/>
      <c r="E276" s="197"/>
      <c r="F276" s="197"/>
      <c r="G276" s="135"/>
      <c r="N276" s="101"/>
    </row>
    <row r="277" spans="1:14" ht="12.75">
      <c r="A277" s="196"/>
      <c r="D277" s="115"/>
      <c r="E277" s="197"/>
      <c r="F277" s="197"/>
      <c r="G277" s="135"/>
      <c r="N277" s="101"/>
    </row>
    <row r="278" spans="1:15" ht="12.75">
      <c r="A278" s="196"/>
      <c r="B278" s="113"/>
      <c r="C278" s="133" t="s">
        <v>251</v>
      </c>
      <c r="D278" s="117"/>
      <c r="E278" s="117"/>
      <c r="F278" s="117"/>
      <c r="G278" s="117"/>
      <c r="H278" s="117"/>
      <c r="I278" s="117"/>
      <c r="J278" s="117"/>
      <c r="K278" s="117"/>
      <c r="L278" s="117"/>
      <c r="M278" s="198"/>
      <c r="N278" s="199"/>
      <c r="O278" s="200"/>
    </row>
    <row r="279" spans="1:15" ht="12.75">
      <c r="A279" s="196"/>
      <c r="B279" s="113"/>
      <c r="C279" s="151"/>
      <c r="D279" s="117"/>
      <c r="E279" s="117"/>
      <c r="F279" s="117"/>
      <c r="G279" s="117"/>
      <c r="H279" s="117"/>
      <c r="I279" s="117"/>
      <c r="J279" s="117"/>
      <c r="K279" s="117"/>
      <c r="L279" s="117"/>
      <c r="M279" s="198"/>
      <c r="N279" s="199"/>
      <c r="O279" s="200"/>
    </row>
    <row r="280" spans="1:15" ht="12.75">
      <c r="A280" s="196"/>
      <c r="B280" s="113"/>
      <c r="C280" s="151"/>
      <c r="D280" s="115" t="s">
        <v>147</v>
      </c>
      <c r="E280" s="300">
        <f>E273</f>
        <v>702.6199999999999</v>
      </c>
      <c r="F280" s="300"/>
      <c r="J280" s="117"/>
      <c r="K280" s="117"/>
      <c r="L280" s="117"/>
      <c r="M280" s="198"/>
      <c r="N280" s="199"/>
      <c r="O280" s="200"/>
    </row>
    <row r="281" spans="2:15" ht="12.75">
      <c r="B281" s="113"/>
      <c r="C281" s="117"/>
      <c r="D281" s="115"/>
      <c r="E281" s="202"/>
      <c r="F281" s="202"/>
      <c r="G281" s="114"/>
      <c r="H281" s="129"/>
      <c r="I281" s="114"/>
      <c r="J281" s="129"/>
      <c r="K281" s="114"/>
      <c r="L281" s="130"/>
      <c r="M281" s="130"/>
      <c r="N281" s="151"/>
      <c r="O281" s="200"/>
    </row>
    <row r="282" spans="2:15" ht="15" customHeight="1">
      <c r="B282" s="136" t="s">
        <v>252</v>
      </c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8"/>
      <c r="N282" s="139"/>
      <c r="O282" s="114"/>
    </row>
    <row r="283" spans="2:15" ht="12.75"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8"/>
      <c r="N283" s="139"/>
      <c r="O283" s="114"/>
    </row>
    <row r="284" spans="5:14" ht="12.75">
      <c r="E284" s="307" t="s">
        <v>148</v>
      </c>
      <c r="F284" s="307"/>
      <c r="G284" s="114" t="s">
        <v>149</v>
      </c>
      <c r="H284" s="116" t="s">
        <v>183</v>
      </c>
      <c r="I284" s="117"/>
      <c r="J284" s="114"/>
      <c r="K284" s="307" t="s">
        <v>253</v>
      </c>
      <c r="L284" s="307"/>
      <c r="M284" s="101"/>
      <c r="N284" s="101"/>
    </row>
    <row r="285" spans="13:14" ht="12.75">
      <c r="M285" s="101"/>
      <c r="N285" s="101"/>
    </row>
    <row r="286" spans="3:15" ht="12.75">
      <c r="C286" s="189" t="s">
        <v>213</v>
      </c>
      <c r="D286" s="123" t="s">
        <v>153</v>
      </c>
      <c r="E286" s="304">
        <f>E213</f>
        <v>7</v>
      </c>
      <c r="F286" s="304"/>
      <c r="G286" s="114" t="s">
        <v>149</v>
      </c>
      <c r="H286" s="308">
        <f>ROUND(((3.14159*(0.4+0.1)^2)),2)</f>
        <v>0.79</v>
      </c>
      <c r="I286" s="308"/>
      <c r="J286" s="101" t="s">
        <v>132</v>
      </c>
      <c r="K286" s="309">
        <f>ROUND((0.15*(1+0.1+0.1)),2)</f>
        <v>0.18</v>
      </c>
      <c r="L286" s="309"/>
      <c r="M286" s="101" t="s">
        <v>154</v>
      </c>
      <c r="N286" s="310">
        <f>E286*(H286+K286)</f>
        <v>6.79</v>
      </c>
      <c r="O286" s="310"/>
    </row>
    <row r="287" spans="3:14" ht="12.75">
      <c r="C287" s="190" t="s">
        <v>138</v>
      </c>
      <c r="D287" s="190"/>
      <c r="M287" s="101"/>
      <c r="N287" s="101"/>
    </row>
    <row r="288" spans="3:14" ht="12.75">
      <c r="C288" s="189"/>
      <c r="D288" s="123"/>
      <c r="M288" s="101"/>
      <c r="N288" s="101"/>
    </row>
    <row r="289" spans="2:15" ht="12.75">
      <c r="B289" s="113"/>
      <c r="C289" s="189" t="s">
        <v>215</v>
      </c>
      <c r="D289" s="123" t="s">
        <v>158</v>
      </c>
      <c r="E289" s="304">
        <f>E216</f>
        <v>8</v>
      </c>
      <c r="F289" s="304"/>
      <c r="G289" s="114" t="s">
        <v>149</v>
      </c>
      <c r="H289" s="308">
        <f>ROUND(((3.14159*(0.4+0.1)^2)),2)</f>
        <v>0.79</v>
      </c>
      <c r="I289" s="308"/>
      <c r="J289" s="101" t="s">
        <v>132</v>
      </c>
      <c r="K289" s="309">
        <f>ROUND((0.15*(1+0.1+0.1)),2)</f>
        <v>0.18</v>
      </c>
      <c r="L289" s="309"/>
      <c r="M289" s="101" t="s">
        <v>154</v>
      </c>
      <c r="N289" s="310">
        <f>E289*(H289+K289)</f>
        <v>7.76</v>
      </c>
      <c r="O289" s="310"/>
    </row>
    <row r="290" spans="3:14" ht="12.75">
      <c r="C290" s="190" t="s">
        <v>138</v>
      </c>
      <c r="D290" s="191"/>
      <c r="M290" s="101"/>
      <c r="N290" s="101"/>
    </row>
    <row r="291" spans="3:14" ht="12.75">
      <c r="C291" s="189"/>
      <c r="D291" s="191"/>
      <c r="M291" s="101"/>
      <c r="N291" s="101"/>
    </row>
    <row r="292" spans="3:15" ht="12.75">
      <c r="C292" s="189" t="s">
        <v>216</v>
      </c>
      <c r="D292" s="123" t="s">
        <v>161</v>
      </c>
      <c r="E292" s="304">
        <f>E219</f>
        <v>7</v>
      </c>
      <c r="F292" s="304"/>
      <c r="G292" s="114" t="s">
        <v>149</v>
      </c>
      <c r="H292" s="308">
        <f>ROUND(((3.14159*(0.4+0.1)^2)),2)</f>
        <v>0.79</v>
      </c>
      <c r="I292" s="308"/>
      <c r="J292" s="101" t="s">
        <v>132</v>
      </c>
      <c r="K292" s="309">
        <f>ROUND((0.15*(1+0.1+0.1)),2)</f>
        <v>0.18</v>
      </c>
      <c r="L292" s="309"/>
      <c r="M292" s="101" t="s">
        <v>154</v>
      </c>
      <c r="N292" s="310">
        <f>E292*(H292+K292)</f>
        <v>6.79</v>
      </c>
      <c r="O292" s="310"/>
    </row>
    <row r="293" spans="3:14" ht="12.75">
      <c r="C293" s="190" t="s">
        <v>138</v>
      </c>
      <c r="D293" s="188"/>
      <c r="M293" s="101"/>
      <c r="N293" s="101"/>
    </row>
    <row r="294" spans="3:14" ht="12.75">
      <c r="C294" s="192"/>
      <c r="D294" s="187"/>
      <c r="M294" s="101"/>
      <c r="N294" s="101"/>
    </row>
    <row r="295" spans="3:15" ht="12.75">
      <c r="C295" s="192" t="s">
        <v>217</v>
      </c>
      <c r="D295" s="114" t="s">
        <v>163</v>
      </c>
      <c r="E295" s="304">
        <f>E222</f>
        <v>18</v>
      </c>
      <c r="F295" s="304"/>
      <c r="G295" s="114" t="s">
        <v>149</v>
      </c>
      <c r="H295" s="308">
        <f>ROUND(((3.14159*(0.4+0.1)^2)),2)</f>
        <v>0.79</v>
      </c>
      <c r="I295" s="308"/>
      <c r="J295" s="101" t="s">
        <v>132</v>
      </c>
      <c r="K295" s="309">
        <f>ROUND((0.15*(1+0.1+0.1)),2)</f>
        <v>0.18</v>
      </c>
      <c r="L295" s="309"/>
      <c r="M295" s="101" t="s">
        <v>154</v>
      </c>
      <c r="N295" s="310">
        <f>E295*(H295+K295)</f>
        <v>17.46</v>
      </c>
      <c r="O295" s="310"/>
    </row>
    <row r="296" spans="3:14" ht="12.75">
      <c r="C296" s="193" t="s">
        <v>138</v>
      </c>
      <c r="D296" s="187"/>
      <c r="M296" s="101"/>
      <c r="N296" s="101"/>
    </row>
    <row r="297" spans="3:14" ht="12.75">
      <c r="C297" s="192"/>
      <c r="D297" s="187"/>
      <c r="M297" s="101"/>
      <c r="N297" s="101"/>
    </row>
    <row r="298" spans="3:15" ht="12.75">
      <c r="C298" s="189" t="s">
        <v>218</v>
      </c>
      <c r="D298" s="123" t="s">
        <v>166</v>
      </c>
      <c r="E298" s="304">
        <f>E225</f>
        <v>7</v>
      </c>
      <c r="F298" s="304"/>
      <c r="G298" s="114" t="s">
        <v>149</v>
      </c>
      <c r="H298" s="308">
        <f>ROUND(((3.14159*(0.4+0.1)^2)),2)</f>
        <v>0.79</v>
      </c>
      <c r="I298" s="308"/>
      <c r="J298" s="101" t="s">
        <v>132</v>
      </c>
      <c r="K298" s="309">
        <f>ROUND((0.15*(1+0.1+0.1)),2)</f>
        <v>0.18</v>
      </c>
      <c r="L298" s="309"/>
      <c r="M298" s="101" t="s">
        <v>154</v>
      </c>
      <c r="N298" s="310">
        <f>E298*(H298+K298)</f>
        <v>6.79</v>
      </c>
      <c r="O298" s="310"/>
    </row>
    <row r="299" spans="3:14" ht="12.75">
      <c r="C299" s="190" t="s">
        <v>138</v>
      </c>
      <c r="D299" s="188"/>
      <c r="M299" s="101"/>
      <c r="N299" s="101"/>
    </row>
    <row r="300" spans="3:14" ht="12.75">
      <c r="C300" s="189"/>
      <c r="D300" s="188"/>
      <c r="M300" s="101"/>
      <c r="N300" s="101"/>
    </row>
    <row r="301" spans="3:15" ht="12.75">
      <c r="C301" s="189" t="s">
        <v>219</v>
      </c>
      <c r="D301" s="123" t="s">
        <v>169</v>
      </c>
      <c r="E301" s="304">
        <f>E228</f>
        <v>7</v>
      </c>
      <c r="F301" s="304"/>
      <c r="G301" s="114" t="s">
        <v>149</v>
      </c>
      <c r="H301" s="308">
        <f>ROUND(((3.14159*(0.4+0.1)^2)),2)</f>
        <v>0.79</v>
      </c>
      <c r="I301" s="308"/>
      <c r="J301" s="101" t="s">
        <v>132</v>
      </c>
      <c r="K301" s="309">
        <f>ROUND((0.15*(1+0.1+0.1)),2)</f>
        <v>0.18</v>
      </c>
      <c r="L301" s="309"/>
      <c r="M301" s="101" t="s">
        <v>154</v>
      </c>
      <c r="N301" s="310">
        <f>E301*(H301+K301)</f>
        <v>6.79</v>
      </c>
      <c r="O301" s="310"/>
    </row>
    <row r="302" spans="3:14" ht="12.75">
      <c r="C302" s="190" t="s">
        <v>138</v>
      </c>
      <c r="D302" s="188"/>
      <c r="M302" s="101"/>
      <c r="N302" s="101"/>
    </row>
    <row r="303" spans="3:14" ht="12.75">
      <c r="C303" s="188"/>
      <c r="D303" s="188"/>
      <c r="M303" s="101"/>
      <c r="N303" s="101"/>
    </row>
    <row r="304" spans="3:15" ht="12.75">
      <c r="C304" s="188" t="s">
        <v>220</v>
      </c>
      <c r="D304" s="123" t="s">
        <v>172</v>
      </c>
      <c r="E304" s="304">
        <f>E231</f>
        <v>7</v>
      </c>
      <c r="F304" s="304"/>
      <c r="G304" s="114" t="s">
        <v>149</v>
      </c>
      <c r="H304" s="308">
        <f>ROUND(((3.14159*(0.4+0.1)^2)),2)</f>
        <v>0.79</v>
      </c>
      <c r="I304" s="308"/>
      <c r="J304" s="101" t="s">
        <v>132</v>
      </c>
      <c r="K304" s="309">
        <f>ROUND((0.15*(1+0.1+0.1)),2)</f>
        <v>0.18</v>
      </c>
      <c r="L304" s="309"/>
      <c r="M304" s="101" t="s">
        <v>154</v>
      </c>
      <c r="N304" s="310">
        <f>E304*(H304+K304)</f>
        <v>6.79</v>
      </c>
      <c r="O304" s="310"/>
    </row>
    <row r="305" spans="3:14" ht="12.75">
      <c r="C305" s="190" t="s">
        <v>138</v>
      </c>
      <c r="D305" s="118"/>
      <c r="M305" s="101"/>
      <c r="N305" s="101"/>
    </row>
    <row r="306" spans="13:14" ht="12.75">
      <c r="M306" s="101"/>
      <c r="N306" s="101"/>
    </row>
    <row r="307" spans="3:15" ht="12.75">
      <c r="C307" s="192" t="s">
        <v>218</v>
      </c>
      <c r="D307" s="114" t="s">
        <v>174</v>
      </c>
      <c r="E307" s="304">
        <f>E234</f>
        <v>23</v>
      </c>
      <c r="F307" s="304"/>
      <c r="G307" s="114" t="s">
        <v>149</v>
      </c>
      <c r="H307" s="308">
        <f>ROUND(((3.14159*(0.6+0.13)^2)),2)</f>
        <v>1.67</v>
      </c>
      <c r="I307" s="308"/>
      <c r="J307" s="101" t="s">
        <v>132</v>
      </c>
      <c r="K307" s="309">
        <f>ROUND((0.15*(1.46+0.1+0.1)),2)</f>
        <v>0.25</v>
      </c>
      <c r="L307" s="309"/>
      <c r="M307" s="101" t="s">
        <v>154</v>
      </c>
      <c r="N307" s="310">
        <f>E307*(H307+K307)</f>
        <v>44.16</v>
      </c>
      <c r="O307" s="310"/>
    </row>
    <row r="308" spans="3:14" ht="12.75">
      <c r="C308" s="193" t="s">
        <v>221</v>
      </c>
      <c r="M308" s="101"/>
      <c r="N308" s="101"/>
    </row>
    <row r="309" spans="3:14" ht="12.75">
      <c r="C309" s="192"/>
      <c r="M309" s="101"/>
      <c r="N309" s="101"/>
    </row>
    <row r="310" spans="3:15" ht="12.75">
      <c r="C310" s="193" t="s">
        <v>222</v>
      </c>
      <c r="D310" s="114" t="s">
        <v>176</v>
      </c>
      <c r="E310" s="304">
        <f>E237</f>
        <v>22</v>
      </c>
      <c r="F310" s="304"/>
      <c r="G310" s="114" t="s">
        <v>149</v>
      </c>
      <c r="H310" s="308">
        <f>ROUND(((3.14159*(0.6+0.13)^2)),2)</f>
        <v>1.67</v>
      </c>
      <c r="I310" s="308"/>
      <c r="J310" s="101" t="s">
        <v>132</v>
      </c>
      <c r="K310" s="309">
        <f>ROUND((0.15*(1.46+0.1+0.1)),2)</f>
        <v>0.25</v>
      </c>
      <c r="L310" s="309"/>
      <c r="M310" s="101" t="s">
        <v>154</v>
      </c>
      <c r="N310" s="310">
        <f>E310*(H310+K310)</f>
        <v>42.239999999999995</v>
      </c>
      <c r="O310" s="310"/>
    </row>
    <row r="311" spans="3:14" ht="12.75">
      <c r="C311" s="193" t="s">
        <v>221</v>
      </c>
      <c r="M311" s="101"/>
      <c r="N311" s="101"/>
    </row>
    <row r="312" spans="3:14" ht="12.75">
      <c r="C312" s="193"/>
      <c r="M312" s="101"/>
      <c r="N312" s="101"/>
    </row>
    <row r="313" spans="3:15" ht="12.75">
      <c r="C313" s="192" t="s">
        <v>223</v>
      </c>
      <c r="D313" s="114" t="s">
        <v>224</v>
      </c>
      <c r="E313" s="304">
        <f>E240</f>
        <v>21</v>
      </c>
      <c r="F313" s="304"/>
      <c r="G313" s="114" t="s">
        <v>149</v>
      </c>
      <c r="H313" s="308">
        <f>ROUND(((3.14159*(0.6+0.13)^2)),2)</f>
        <v>1.67</v>
      </c>
      <c r="I313" s="308"/>
      <c r="J313" s="101" t="s">
        <v>132</v>
      </c>
      <c r="K313" s="309">
        <f>ROUND((0.15*(1.46+0.1+0.1)),2)</f>
        <v>0.25</v>
      </c>
      <c r="L313" s="309"/>
      <c r="M313" s="101" t="s">
        <v>154</v>
      </c>
      <c r="N313" s="310">
        <f>E313*(H313+K313)</f>
        <v>40.32</v>
      </c>
      <c r="O313" s="310"/>
    </row>
    <row r="314" spans="3:14" ht="12.75">
      <c r="C314" s="193" t="s">
        <v>221</v>
      </c>
      <c r="M314" s="101"/>
      <c r="N314" s="101"/>
    </row>
    <row r="315" spans="3:14" ht="12.75">
      <c r="C315" s="192"/>
      <c r="M315" s="101"/>
      <c r="N315" s="101"/>
    </row>
    <row r="316" spans="3:15" ht="12.75">
      <c r="C316" s="193" t="s">
        <v>225</v>
      </c>
      <c r="D316" s="114" t="s">
        <v>180</v>
      </c>
      <c r="E316" s="304">
        <f>E243</f>
        <v>18</v>
      </c>
      <c r="F316" s="304"/>
      <c r="G316" s="114" t="s">
        <v>149</v>
      </c>
      <c r="H316" s="308">
        <f>ROUND(((3.14159*(0.6+0.13)^2)),2)</f>
        <v>1.67</v>
      </c>
      <c r="I316" s="308"/>
      <c r="J316" s="101" t="s">
        <v>132</v>
      </c>
      <c r="K316" s="309">
        <f>ROUND((0.15*(1.46+0.1+0.1)),2)</f>
        <v>0.25</v>
      </c>
      <c r="L316" s="309"/>
      <c r="M316" s="101" t="s">
        <v>154</v>
      </c>
      <c r="N316" s="310">
        <f>E316*(H316+K316)</f>
        <v>34.56</v>
      </c>
      <c r="O316" s="310"/>
    </row>
    <row r="317" spans="3:14" ht="12.75">
      <c r="C317" s="193" t="s">
        <v>221</v>
      </c>
      <c r="M317" s="101"/>
      <c r="N317" s="101"/>
    </row>
    <row r="318" spans="3:14" ht="12.75">
      <c r="C318" s="193"/>
      <c r="M318" s="101"/>
      <c r="N318" s="101"/>
    </row>
    <row r="319" spans="3:15" ht="12.75">
      <c r="C319" s="193" t="s">
        <v>226</v>
      </c>
      <c r="D319" s="114" t="s">
        <v>227</v>
      </c>
      <c r="E319" s="304">
        <f>E246</f>
        <v>27</v>
      </c>
      <c r="F319" s="304"/>
      <c r="G319" s="114" t="s">
        <v>149</v>
      </c>
      <c r="H319" s="308">
        <f>ROUND(((3.14159*(0.5+0.12)^2)*3),2)</f>
        <v>3.62</v>
      </c>
      <c r="I319" s="308"/>
      <c r="J319" s="101" t="s">
        <v>132</v>
      </c>
      <c r="K319" s="309">
        <f>ROUND((0.15*((1.24*3)+0.1+0.1+0.2+0.2)),2)</f>
        <v>0.65</v>
      </c>
      <c r="L319" s="309"/>
      <c r="M319" s="101" t="s">
        <v>154</v>
      </c>
      <c r="N319" s="310">
        <f>E319*(H319+K319)</f>
        <v>115.29</v>
      </c>
      <c r="O319" s="310"/>
    </row>
    <row r="320" spans="3:14" ht="12.75">
      <c r="C320" s="193" t="s">
        <v>228</v>
      </c>
      <c r="M320" s="101"/>
      <c r="N320" s="101"/>
    </row>
    <row r="321" spans="13:14" ht="12.75">
      <c r="M321" s="101"/>
      <c r="N321" s="101"/>
    </row>
    <row r="322" spans="3:15" ht="12.75">
      <c r="C322" s="193" t="s">
        <v>157</v>
      </c>
      <c r="D322" s="114" t="s">
        <v>229</v>
      </c>
      <c r="E322" s="304">
        <f>E249</f>
        <v>38</v>
      </c>
      <c r="F322" s="304"/>
      <c r="G322" s="114" t="s">
        <v>149</v>
      </c>
      <c r="H322" s="308">
        <f>ROUND(((3.14159*(0.5+0.12)^2)*3),2)</f>
        <v>3.62</v>
      </c>
      <c r="I322" s="308"/>
      <c r="J322" s="101" t="s">
        <v>132</v>
      </c>
      <c r="K322" s="309">
        <f>ROUND((0.15*((1.24*3)+0.1+0.1+0.2+0.2)),2)</f>
        <v>0.65</v>
      </c>
      <c r="L322" s="309"/>
      <c r="M322" s="101" t="s">
        <v>154</v>
      </c>
      <c r="N322" s="310">
        <f>E322*(H322+K322)</f>
        <v>162.26000000000002</v>
      </c>
      <c r="O322" s="310"/>
    </row>
    <row r="323" spans="3:14" ht="12.75">
      <c r="C323" s="193" t="s">
        <v>228</v>
      </c>
      <c r="M323" s="101"/>
      <c r="N323" s="101"/>
    </row>
    <row r="324" spans="13:14" ht="12.75">
      <c r="M324" s="101"/>
      <c r="N324" s="101"/>
    </row>
    <row r="325" spans="3:15" ht="12.75">
      <c r="C325" s="193" t="s">
        <v>230</v>
      </c>
      <c r="D325" s="114" t="s">
        <v>231</v>
      </c>
      <c r="E325" s="304">
        <f>E252</f>
        <v>22.1</v>
      </c>
      <c r="F325" s="304"/>
      <c r="G325" s="114" t="s">
        <v>149</v>
      </c>
      <c r="H325" s="308">
        <f>ROUND(((3.14159*(0.6+0.13)^2)*3),2)</f>
        <v>5.02</v>
      </c>
      <c r="I325" s="308"/>
      <c r="J325" s="145" t="s">
        <v>132</v>
      </c>
      <c r="K325" s="309">
        <f>ROUND((0.15*((1.46*3)+0.1+0.1+0.2+0.2)),2)</f>
        <v>0.75</v>
      </c>
      <c r="L325" s="309"/>
      <c r="M325" s="101" t="s">
        <v>154</v>
      </c>
      <c r="N325" s="310">
        <f>E325*(H325+K325)</f>
        <v>127.517</v>
      </c>
      <c r="O325" s="310"/>
    </row>
    <row r="326" spans="3:14" ht="12.75">
      <c r="C326" s="193" t="s">
        <v>232</v>
      </c>
      <c r="M326" s="101"/>
      <c r="N326" s="101"/>
    </row>
    <row r="327" spans="13:14" ht="12.75">
      <c r="M327" s="101"/>
      <c r="N327" s="101"/>
    </row>
    <row r="328" spans="3:15" ht="12.75">
      <c r="C328" s="193" t="s">
        <v>233</v>
      </c>
      <c r="D328" s="114" t="s">
        <v>234</v>
      </c>
      <c r="E328" s="304">
        <f>E255</f>
        <v>23</v>
      </c>
      <c r="F328" s="304"/>
      <c r="G328" s="114" t="s">
        <v>149</v>
      </c>
      <c r="H328" s="308">
        <f>ROUND(((3.14159*(0.75+0.14)^2)*3),2)</f>
        <v>7.47</v>
      </c>
      <c r="I328" s="308"/>
      <c r="J328" s="101" t="s">
        <v>132</v>
      </c>
      <c r="K328" s="309">
        <f>ROUND((0.15*((1.78*3)+0.1+0.1+0.2+0.2)),2)</f>
        <v>0.89</v>
      </c>
      <c r="L328" s="309"/>
      <c r="M328" s="101" t="s">
        <v>154</v>
      </c>
      <c r="N328" s="310">
        <f>E328*(H328+K328)</f>
        <v>192.27999999999997</v>
      </c>
      <c r="O328" s="310"/>
    </row>
    <row r="329" spans="3:14" ht="12.75">
      <c r="C329" s="193" t="s">
        <v>235</v>
      </c>
      <c r="M329" s="101"/>
      <c r="N329" s="101"/>
    </row>
    <row r="330" spans="13:14" ht="12.75">
      <c r="M330" s="101"/>
      <c r="N330" s="101"/>
    </row>
    <row r="331" spans="3:15" ht="12.75">
      <c r="C331" s="193" t="s">
        <v>236</v>
      </c>
      <c r="D331" s="114" t="s">
        <v>237</v>
      </c>
      <c r="E331" s="304">
        <f>E258</f>
        <v>23</v>
      </c>
      <c r="F331" s="304"/>
      <c r="G331" s="114" t="s">
        <v>149</v>
      </c>
      <c r="H331" s="308">
        <f>ROUND(((3.14159*(0.75+0.14)^2)*3),2)</f>
        <v>7.47</v>
      </c>
      <c r="I331" s="308"/>
      <c r="J331" s="101" t="s">
        <v>132</v>
      </c>
      <c r="K331" s="309">
        <f>ROUND((0.15*((1.78*3)+0.1+0.1+0.2+0.2)),2)</f>
        <v>0.89</v>
      </c>
      <c r="L331" s="309"/>
      <c r="M331" s="101" t="s">
        <v>154</v>
      </c>
      <c r="N331" s="310">
        <f>E331*(H331+K331)</f>
        <v>192.27999999999997</v>
      </c>
      <c r="O331" s="310"/>
    </row>
    <row r="332" spans="3:14" ht="12.75">
      <c r="C332" s="193" t="s">
        <v>235</v>
      </c>
      <c r="M332" s="101"/>
      <c r="N332" s="101"/>
    </row>
    <row r="333" spans="13:14" ht="12.75">
      <c r="M333" s="101"/>
      <c r="N333" s="101"/>
    </row>
    <row r="334" spans="3:15" ht="12.75">
      <c r="C334" s="193" t="s">
        <v>238</v>
      </c>
      <c r="D334" s="114" t="s">
        <v>239</v>
      </c>
      <c r="E334" s="304">
        <f>E261</f>
        <v>17</v>
      </c>
      <c r="F334" s="304"/>
      <c r="G334" s="114" t="s">
        <v>149</v>
      </c>
      <c r="H334" s="308">
        <f>ROUND((2.3*2.3),2)</f>
        <v>5.29</v>
      </c>
      <c r="I334" s="308"/>
      <c r="J334" s="101" t="s">
        <v>132</v>
      </c>
      <c r="K334" s="309">
        <f>ROUND((2.3+0.15+0.15),2)</f>
        <v>2.6</v>
      </c>
      <c r="L334" s="309"/>
      <c r="M334" s="101" t="s">
        <v>154</v>
      </c>
      <c r="N334" s="310">
        <f>E334*(H334+K334)</f>
        <v>134.13</v>
      </c>
      <c r="O334" s="310"/>
    </row>
    <row r="335" spans="3:14" ht="12.75">
      <c r="C335" s="193" t="s">
        <v>240</v>
      </c>
      <c r="D335" s="187"/>
      <c r="M335" s="101"/>
      <c r="N335" s="101"/>
    </row>
    <row r="336" spans="3:14" ht="12.75">
      <c r="C336" s="193"/>
      <c r="D336" s="187"/>
      <c r="M336" s="101"/>
      <c r="N336" s="101"/>
    </row>
    <row r="337" spans="3:15" ht="12.75">
      <c r="C337" s="193" t="s">
        <v>241</v>
      </c>
      <c r="D337" s="114" t="s">
        <v>242</v>
      </c>
      <c r="E337" s="304">
        <f>E264</f>
        <v>16</v>
      </c>
      <c r="F337" s="304"/>
      <c r="G337" s="114" t="s">
        <v>149</v>
      </c>
      <c r="H337" s="308">
        <f>ROUND((2.3*2.3),2)</f>
        <v>5.29</v>
      </c>
      <c r="I337" s="308"/>
      <c r="J337" s="101" t="s">
        <v>132</v>
      </c>
      <c r="K337" s="309">
        <f>ROUND((2.3+0.15+0.15),2)</f>
        <v>2.6</v>
      </c>
      <c r="L337" s="309"/>
      <c r="M337" s="101" t="s">
        <v>154</v>
      </c>
      <c r="N337" s="310">
        <f>E337*(H337+K337)</f>
        <v>126.24000000000001</v>
      </c>
      <c r="O337" s="310"/>
    </row>
    <row r="338" spans="3:14" ht="12.75">
      <c r="C338" s="193" t="s">
        <v>240</v>
      </c>
      <c r="D338" s="187"/>
      <c r="M338" s="101"/>
      <c r="N338" s="101"/>
    </row>
    <row r="339" spans="3:14" ht="12.75">
      <c r="C339" s="193"/>
      <c r="D339" s="187"/>
      <c r="M339" s="101"/>
      <c r="N339" s="101"/>
    </row>
    <row r="340" spans="3:15" ht="12.75">
      <c r="C340" s="193" t="s">
        <v>243</v>
      </c>
      <c r="D340" s="114" t="s">
        <v>244</v>
      </c>
      <c r="E340" s="304">
        <f>E267</f>
        <v>16</v>
      </c>
      <c r="F340" s="304"/>
      <c r="G340" s="114" t="s">
        <v>149</v>
      </c>
      <c r="H340" s="308">
        <f>ROUND((2.3*2.3),2)</f>
        <v>5.29</v>
      </c>
      <c r="I340" s="308"/>
      <c r="J340" s="101" t="s">
        <v>132</v>
      </c>
      <c r="K340" s="309">
        <f>ROUND((2.3+0.15+0.15),2)</f>
        <v>2.6</v>
      </c>
      <c r="L340" s="309"/>
      <c r="M340" s="101" t="s">
        <v>154</v>
      </c>
      <c r="N340" s="310">
        <f>E340*(H340+K340)</f>
        <v>126.24000000000001</v>
      </c>
      <c r="O340" s="310"/>
    </row>
    <row r="341" spans="3:14" ht="12.75">
      <c r="C341" s="193" t="s">
        <v>240</v>
      </c>
      <c r="D341" s="187"/>
      <c r="M341" s="101"/>
      <c r="N341" s="101"/>
    </row>
    <row r="342" spans="3:14" ht="12.75">
      <c r="C342" s="193"/>
      <c r="M342" s="101"/>
      <c r="N342" s="101"/>
    </row>
    <row r="343" spans="3:15" ht="12.75">
      <c r="C343" s="193" t="s">
        <v>245</v>
      </c>
      <c r="D343" s="114" t="s">
        <v>246</v>
      </c>
      <c r="E343" s="304">
        <f>E270</f>
        <v>20</v>
      </c>
      <c r="F343" s="304"/>
      <c r="G343" s="114" t="s">
        <v>149</v>
      </c>
      <c r="H343" s="308">
        <f>ROUND((6.6*3.4),2)</f>
        <v>22.44</v>
      </c>
      <c r="I343" s="308"/>
      <c r="J343" s="101" t="s">
        <v>132</v>
      </c>
      <c r="K343" s="309">
        <f>ROUND((6.6+0.15+0.15),2)</f>
        <v>6.9</v>
      </c>
      <c r="L343" s="309"/>
      <c r="M343" s="101" t="s">
        <v>154</v>
      </c>
      <c r="N343" s="310">
        <f>E343*(H343+K343)</f>
        <v>586.8000000000001</v>
      </c>
      <c r="O343" s="310"/>
    </row>
    <row r="344" spans="3:14" ht="12.75">
      <c r="C344" s="193" t="s">
        <v>247</v>
      </c>
      <c r="D344" s="187"/>
      <c r="M344" s="101"/>
      <c r="N344" s="101"/>
    </row>
    <row r="345" spans="13:14" ht="12.75">
      <c r="M345" s="101"/>
      <c r="N345" s="101"/>
    </row>
    <row r="346" spans="4:14" ht="15.75">
      <c r="D346" s="203" t="s">
        <v>248</v>
      </c>
      <c r="E346" s="300">
        <f>ROUND(SUM(N295,N307:O343),2)</f>
        <v>1941.78</v>
      </c>
      <c r="F346" s="300"/>
      <c r="G346" s="204" t="s">
        <v>254</v>
      </c>
      <c r="M346" s="101"/>
      <c r="N346" s="101"/>
    </row>
    <row r="347" spans="13:14" ht="12.75">
      <c r="M347" s="101"/>
      <c r="N347" s="101"/>
    </row>
    <row r="348" spans="1:14" ht="12.75">
      <c r="A348" s="196"/>
      <c r="B348" s="136" t="s">
        <v>190</v>
      </c>
      <c r="D348" s="115"/>
      <c r="E348" s="197"/>
      <c r="F348" s="197"/>
      <c r="G348" s="135"/>
      <c r="N348" s="101"/>
    </row>
    <row r="349" spans="1:14" ht="12.75">
      <c r="A349" s="196"/>
      <c r="B349" s="136"/>
      <c r="D349" s="115"/>
      <c r="E349" s="197"/>
      <c r="F349" s="197"/>
      <c r="G349" s="135"/>
      <c r="N349" s="101"/>
    </row>
    <row r="350" spans="1:15" ht="15.75" customHeight="1">
      <c r="A350" s="196"/>
      <c r="B350" s="311" t="s">
        <v>255</v>
      </c>
      <c r="C350" s="311"/>
      <c r="D350" s="311"/>
      <c r="E350" s="311"/>
      <c r="F350" s="311"/>
      <c r="G350" s="311"/>
      <c r="H350" s="311"/>
      <c r="I350" s="311"/>
      <c r="J350" s="311"/>
      <c r="K350" s="311"/>
      <c r="L350" s="311"/>
      <c r="M350" s="311"/>
      <c r="N350" s="311"/>
      <c r="O350" s="311"/>
    </row>
    <row r="351" spans="1:15" ht="15.75" customHeight="1">
      <c r="A351" s="196"/>
      <c r="B351" s="311"/>
      <c r="C351" s="311"/>
      <c r="D351" s="311"/>
      <c r="E351" s="311"/>
      <c r="F351" s="311"/>
      <c r="G351" s="311"/>
      <c r="H351" s="311"/>
      <c r="I351" s="311"/>
      <c r="J351" s="311"/>
      <c r="K351" s="311"/>
      <c r="L351" s="311"/>
      <c r="M351" s="311"/>
      <c r="N351" s="311"/>
      <c r="O351" s="311"/>
    </row>
    <row r="352" spans="1:15" ht="15.75" customHeight="1">
      <c r="A352" s="196"/>
      <c r="B352" s="311"/>
      <c r="C352" s="311"/>
      <c r="D352" s="311"/>
      <c r="E352" s="311"/>
      <c r="F352" s="311"/>
      <c r="G352" s="311"/>
      <c r="H352" s="311"/>
      <c r="I352" s="311"/>
      <c r="J352" s="311"/>
      <c r="K352" s="311"/>
      <c r="L352" s="311"/>
      <c r="M352" s="311"/>
      <c r="N352" s="311"/>
      <c r="O352" s="311"/>
    </row>
    <row r="353" spans="1:15" ht="15.75" customHeight="1">
      <c r="A353" s="196"/>
      <c r="B353" s="311"/>
      <c r="C353" s="311"/>
      <c r="D353" s="311"/>
      <c r="E353" s="311"/>
      <c r="F353" s="311"/>
      <c r="G353" s="311"/>
      <c r="H353" s="311"/>
      <c r="I353" s="311"/>
      <c r="J353" s="311"/>
      <c r="K353" s="311"/>
      <c r="L353" s="311"/>
      <c r="M353" s="311"/>
      <c r="N353" s="311"/>
      <c r="O353" s="311"/>
    </row>
    <row r="354" spans="1:15" ht="15.75" customHeight="1">
      <c r="A354" s="196"/>
      <c r="B354" s="205"/>
      <c r="C354" s="20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6"/>
      <c r="O354" s="205"/>
    </row>
    <row r="355" spans="1:15" ht="12.75">
      <c r="A355" s="196"/>
      <c r="B355" s="205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8"/>
      <c r="O355" s="207"/>
    </row>
    <row r="356" spans="1:15" ht="12.75">
      <c r="A356" s="187"/>
      <c r="B356" s="113"/>
      <c r="C356" s="114"/>
      <c r="D356" s="115" t="s">
        <v>147</v>
      </c>
      <c r="E356" s="307" t="s">
        <v>148</v>
      </c>
      <c r="F356" s="307"/>
      <c r="G356" s="114" t="s">
        <v>149</v>
      </c>
      <c r="H356" s="307" t="s">
        <v>150</v>
      </c>
      <c r="I356" s="307"/>
      <c r="J356" s="307"/>
      <c r="K356" s="114" t="s">
        <v>149</v>
      </c>
      <c r="L356" s="116" t="s">
        <v>151</v>
      </c>
      <c r="M356" s="117"/>
      <c r="N356" s="114"/>
      <c r="O356" s="114"/>
    </row>
    <row r="357" spans="1:15" ht="12.75">
      <c r="A357" s="187"/>
      <c r="B357" s="113"/>
      <c r="C357" s="114"/>
      <c r="D357" s="115"/>
      <c r="E357" s="114"/>
      <c r="F357" s="114"/>
      <c r="G357" s="114"/>
      <c r="H357" s="114"/>
      <c r="I357" s="114"/>
      <c r="J357" s="114"/>
      <c r="K357" s="114"/>
      <c r="L357" s="116"/>
      <c r="M357" s="117"/>
      <c r="N357" s="114"/>
      <c r="O357" s="114"/>
    </row>
    <row r="358" spans="1:14" ht="15" customHeight="1">
      <c r="A358" s="209"/>
      <c r="B358" s="113"/>
      <c r="C358" s="189" t="s">
        <v>213</v>
      </c>
      <c r="D358" s="123" t="s">
        <v>153</v>
      </c>
      <c r="E358" s="305">
        <f>E213</f>
        <v>7</v>
      </c>
      <c r="F358" s="305"/>
      <c r="G358" s="123" t="s">
        <v>149</v>
      </c>
      <c r="H358" s="122">
        <f>H213+J213</f>
        <v>1.6</v>
      </c>
      <c r="I358" s="123" t="s">
        <v>149</v>
      </c>
      <c r="J358" s="122"/>
      <c r="K358" s="123" t="s">
        <v>154</v>
      </c>
      <c r="L358" s="306">
        <f>ROUND(E358*H358*J358,2)</f>
        <v>0</v>
      </c>
      <c r="M358" s="306"/>
      <c r="N358" s="188" t="s">
        <v>214</v>
      </c>
    </row>
    <row r="359" spans="1:14" ht="12.75">
      <c r="A359" s="209"/>
      <c r="B359" s="113"/>
      <c r="C359" s="190" t="s">
        <v>138</v>
      </c>
      <c r="D359" s="190"/>
      <c r="E359" s="141"/>
      <c r="F359" s="123"/>
      <c r="G359" s="122"/>
      <c r="H359" s="123"/>
      <c r="I359" s="124"/>
      <c r="J359" s="123"/>
      <c r="K359" s="125"/>
      <c r="L359" s="123"/>
      <c r="M359" s="122"/>
      <c r="N359" s="101"/>
    </row>
    <row r="360" spans="1:14" ht="12.75">
      <c r="A360" s="209"/>
      <c r="B360" s="113"/>
      <c r="C360" s="189"/>
      <c r="D360" s="123"/>
      <c r="E360" s="141"/>
      <c r="F360" s="123"/>
      <c r="G360" s="122"/>
      <c r="H360" s="123"/>
      <c r="I360" s="124"/>
      <c r="J360" s="123"/>
      <c r="K360" s="125"/>
      <c r="L360" s="123"/>
      <c r="M360" s="122"/>
      <c r="N360" s="101"/>
    </row>
    <row r="361" spans="3:14" ht="12.75">
      <c r="C361" s="189" t="s">
        <v>215</v>
      </c>
      <c r="D361" s="123" t="s">
        <v>158</v>
      </c>
      <c r="E361" s="305">
        <f>E216</f>
        <v>8</v>
      </c>
      <c r="F361" s="305"/>
      <c r="G361" s="123" t="s">
        <v>149</v>
      </c>
      <c r="H361" s="122">
        <f>H216+J216</f>
        <v>1.6</v>
      </c>
      <c r="I361" s="123" t="s">
        <v>149</v>
      </c>
      <c r="J361" s="122"/>
      <c r="K361" s="123" t="s">
        <v>154</v>
      </c>
      <c r="L361" s="306">
        <f>ROUND(E361*H361*J361,2)</f>
        <v>0</v>
      </c>
      <c r="M361" s="306"/>
      <c r="N361" s="188" t="s">
        <v>214</v>
      </c>
    </row>
    <row r="362" spans="3:13" ht="12.75">
      <c r="C362" s="190" t="s">
        <v>138</v>
      </c>
      <c r="D362" s="191"/>
      <c r="E362" s="141"/>
      <c r="F362" s="123"/>
      <c r="G362" s="122"/>
      <c r="H362" s="123"/>
      <c r="I362" s="124"/>
      <c r="J362" s="123"/>
      <c r="K362" s="125"/>
      <c r="L362" s="123"/>
      <c r="M362" s="122"/>
    </row>
    <row r="363" spans="3:13" ht="12.75">
      <c r="C363" s="189"/>
      <c r="D363" s="191"/>
      <c r="E363" s="141"/>
      <c r="F363" s="123"/>
      <c r="G363" s="122"/>
      <c r="H363" s="123"/>
      <c r="I363" s="124"/>
      <c r="J363" s="123"/>
      <c r="K363" s="125"/>
      <c r="L363" s="123"/>
      <c r="M363" s="122"/>
    </row>
    <row r="364" spans="3:14" ht="12.75">
      <c r="C364" s="189" t="s">
        <v>216</v>
      </c>
      <c r="D364" s="123" t="s">
        <v>161</v>
      </c>
      <c r="E364" s="305">
        <f>E219</f>
        <v>7</v>
      </c>
      <c r="F364" s="305"/>
      <c r="G364" s="123" t="s">
        <v>149</v>
      </c>
      <c r="H364" s="122">
        <f>H219+J219</f>
        <v>1.6</v>
      </c>
      <c r="I364" s="123" t="s">
        <v>149</v>
      </c>
      <c r="J364" s="122"/>
      <c r="K364" s="123" t="s">
        <v>154</v>
      </c>
      <c r="L364" s="306">
        <f>ROUND(E364*H364*J364,2)</f>
        <v>0</v>
      </c>
      <c r="M364" s="306"/>
      <c r="N364" s="188" t="s">
        <v>214</v>
      </c>
    </row>
    <row r="365" spans="3:13" ht="12.75">
      <c r="C365" s="190" t="s">
        <v>138</v>
      </c>
      <c r="D365" s="188"/>
      <c r="E365" s="128"/>
      <c r="F365" s="114"/>
      <c r="G365" s="129"/>
      <c r="H365" s="114"/>
      <c r="I365" s="131"/>
      <c r="J365" s="114"/>
      <c r="K365" s="132"/>
      <c r="L365" s="114"/>
      <c r="M365" s="129"/>
    </row>
    <row r="366" spans="3:13" ht="12.75">
      <c r="C366" s="192"/>
      <c r="D366" s="187"/>
      <c r="E366" s="128"/>
      <c r="F366" s="114"/>
      <c r="G366" s="129"/>
      <c r="H366" s="114"/>
      <c r="I366" s="131"/>
      <c r="J366" s="114"/>
      <c r="K366" s="132"/>
      <c r="L366" s="114"/>
      <c r="M366" s="129"/>
    </row>
    <row r="367" spans="3:13" ht="12.75">
      <c r="C367" s="192" t="s">
        <v>217</v>
      </c>
      <c r="D367" s="114" t="s">
        <v>163</v>
      </c>
      <c r="E367" s="304">
        <f>E222</f>
        <v>18</v>
      </c>
      <c r="F367" s="304"/>
      <c r="G367" s="114" t="s">
        <v>149</v>
      </c>
      <c r="H367" s="129">
        <f>H222+J222</f>
        <v>1.6</v>
      </c>
      <c r="I367" s="114" t="s">
        <v>149</v>
      </c>
      <c r="J367" s="129">
        <v>1.15</v>
      </c>
      <c r="K367" s="114" t="s">
        <v>154</v>
      </c>
      <c r="L367" s="289">
        <f>ROUND(E367*H367*J367,2)</f>
        <v>33.12</v>
      </c>
      <c r="M367" s="289"/>
    </row>
    <row r="368" spans="3:13" ht="12.75">
      <c r="C368" s="193" t="s">
        <v>138</v>
      </c>
      <c r="D368" s="187"/>
      <c r="E368" s="128"/>
      <c r="F368" s="114"/>
      <c r="G368" s="129"/>
      <c r="H368" s="114"/>
      <c r="I368" s="131"/>
      <c r="J368" s="114"/>
      <c r="K368" s="132"/>
      <c r="L368" s="114"/>
      <c r="M368" s="129"/>
    </row>
    <row r="369" spans="3:13" ht="12.75">
      <c r="C369" s="192"/>
      <c r="D369" s="187"/>
      <c r="E369" s="128"/>
      <c r="F369" s="114"/>
      <c r="G369" s="129"/>
      <c r="H369" s="114"/>
      <c r="I369" s="131"/>
      <c r="J369" s="114"/>
      <c r="K369" s="132"/>
      <c r="L369" s="114"/>
      <c r="M369" s="129"/>
    </row>
    <row r="370" spans="3:14" ht="12.75">
      <c r="C370" s="189" t="s">
        <v>218</v>
      </c>
      <c r="D370" s="123" t="s">
        <v>166</v>
      </c>
      <c r="E370" s="305">
        <f>E225</f>
        <v>7</v>
      </c>
      <c r="F370" s="305"/>
      <c r="G370" s="123" t="s">
        <v>149</v>
      </c>
      <c r="H370" s="122">
        <f>H225+J225</f>
        <v>1.6</v>
      </c>
      <c r="I370" s="123" t="s">
        <v>149</v>
      </c>
      <c r="J370" s="122"/>
      <c r="K370" s="123" t="s">
        <v>154</v>
      </c>
      <c r="L370" s="306">
        <f>ROUND(E370*H370*J370,2)</f>
        <v>0</v>
      </c>
      <c r="M370" s="306"/>
      <c r="N370" s="188" t="s">
        <v>214</v>
      </c>
    </row>
    <row r="371" spans="3:13" ht="12.75">
      <c r="C371" s="190" t="s">
        <v>138</v>
      </c>
      <c r="D371" s="188"/>
      <c r="E371" s="141"/>
      <c r="F371" s="123"/>
      <c r="G371" s="122"/>
      <c r="H371" s="123"/>
      <c r="I371" s="124"/>
      <c r="J371" s="123"/>
      <c r="K371" s="125"/>
      <c r="L371" s="123"/>
      <c r="M371" s="122"/>
    </row>
    <row r="372" spans="3:13" ht="12.75">
      <c r="C372" s="189"/>
      <c r="D372" s="188"/>
      <c r="E372" s="141"/>
      <c r="F372" s="123"/>
      <c r="G372" s="122"/>
      <c r="H372" s="123"/>
      <c r="I372" s="124"/>
      <c r="J372" s="123"/>
      <c r="K372" s="125"/>
      <c r="L372" s="123"/>
      <c r="M372" s="122"/>
    </row>
    <row r="373" spans="3:14" ht="12.75">
      <c r="C373" s="189" t="s">
        <v>219</v>
      </c>
      <c r="D373" s="123" t="s">
        <v>169</v>
      </c>
      <c r="E373" s="305">
        <f>E228</f>
        <v>7</v>
      </c>
      <c r="F373" s="305"/>
      <c r="G373" s="123" t="s">
        <v>149</v>
      </c>
      <c r="H373" s="122">
        <f>H228+J228</f>
        <v>1.6</v>
      </c>
      <c r="I373" s="123" t="s">
        <v>149</v>
      </c>
      <c r="J373" s="122"/>
      <c r="K373" s="123" t="s">
        <v>154</v>
      </c>
      <c r="L373" s="306">
        <f>ROUND(E373*H373*J373,2)</f>
        <v>0</v>
      </c>
      <c r="M373" s="306"/>
      <c r="N373" s="188" t="s">
        <v>214</v>
      </c>
    </row>
    <row r="374" spans="3:13" ht="12.75">
      <c r="C374" s="190" t="s">
        <v>138</v>
      </c>
      <c r="D374" s="188"/>
      <c r="E374" s="141"/>
      <c r="F374" s="123"/>
      <c r="G374" s="122"/>
      <c r="H374" s="123"/>
      <c r="I374" s="124"/>
      <c r="J374" s="123"/>
      <c r="K374" s="125"/>
      <c r="L374" s="123"/>
      <c r="M374" s="122"/>
    </row>
    <row r="375" spans="3:14" ht="12.75">
      <c r="C375" s="188"/>
      <c r="D375" s="188"/>
      <c r="E375" s="141"/>
      <c r="F375" s="123"/>
      <c r="G375" s="122"/>
      <c r="H375" s="123"/>
      <c r="I375" s="124"/>
      <c r="J375" s="123"/>
      <c r="K375" s="125"/>
      <c r="L375" s="123"/>
      <c r="M375" s="122"/>
      <c r="N375" s="188"/>
    </row>
    <row r="376" spans="3:14" ht="12.75">
      <c r="C376" s="188" t="s">
        <v>220</v>
      </c>
      <c r="D376" s="123" t="s">
        <v>172</v>
      </c>
      <c r="E376" s="305">
        <f>E231</f>
        <v>7</v>
      </c>
      <c r="F376" s="305"/>
      <c r="G376" s="123" t="s">
        <v>149</v>
      </c>
      <c r="H376" s="122">
        <f>H231+J231</f>
        <v>1.6</v>
      </c>
      <c r="I376" s="123" t="s">
        <v>149</v>
      </c>
      <c r="J376" s="122"/>
      <c r="K376" s="123" t="s">
        <v>154</v>
      </c>
      <c r="L376" s="306">
        <f>ROUND(E376*H376*J376,2)</f>
        <v>0</v>
      </c>
      <c r="M376" s="306"/>
      <c r="N376" s="188" t="s">
        <v>214</v>
      </c>
    </row>
    <row r="377" spans="3:13" ht="12.75">
      <c r="C377" s="190" t="s">
        <v>138</v>
      </c>
      <c r="D377" s="118"/>
      <c r="E377" s="141"/>
      <c r="F377" s="123"/>
      <c r="G377" s="122"/>
      <c r="H377" s="123"/>
      <c r="I377" s="124"/>
      <c r="J377" s="123"/>
      <c r="K377" s="125"/>
      <c r="L377" s="123"/>
      <c r="M377" s="122"/>
    </row>
    <row r="378" spans="5:13" ht="12.75">
      <c r="E378" s="128"/>
      <c r="F378" s="114"/>
      <c r="G378" s="129"/>
      <c r="H378" s="114"/>
      <c r="I378" s="131"/>
      <c r="J378" s="114"/>
      <c r="K378" s="132"/>
      <c r="L378" s="114"/>
      <c r="M378" s="129"/>
    </row>
    <row r="379" spans="3:13" ht="12.75">
      <c r="C379" s="192" t="s">
        <v>218</v>
      </c>
      <c r="D379" s="114" t="s">
        <v>174</v>
      </c>
      <c r="E379" s="304">
        <f>E234</f>
        <v>23</v>
      </c>
      <c r="F379" s="304"/>
      <c r="G379" s="114" t="s">
        <v>149</v>
      </c>
      <c r="H379" s="129">
        <f>H234+J234</f>
        <v>2.06</v>
      </c>
      <c r="I379" s="114" t="s">
        <v>149</v>
      </c>
      <c r="J379" s="129">
        <v>1.8</v>
      </c>
      <c r="K379" s="114" t="s">
        <v>154</v>
      </c>
      <c r="L379" s="289">
        <f>ROUND(E379*H379*J379,2)</f>
        <v>85.28</v>
      </c>
      <c r="M379" s="289"/>
    </row>
    <row r="380" spans="3:13" ht="12.75">
      <c r="C380" s="193" t="s">
        <v>221</v>
      </c>
      <c r="E380" s="128"/>
      <c r="F380" s="114"/>
      <c r="G380" s="129"/>
      <c r="H380" s="114"/>
      <c r="I380" s="131"/>
      <c r="J380" s="114"/>
      <c r="K380" s="132"/>
      <c r="L380" s="114"/>
      <c r="M380" s="129"/>
    </row>
    <row r="381" spans="3:13" ht="12.75">
      <c r="C381" s="192"/>
      <c r="E381" s="128"/>
      <c r="F381" s="114"/>
      <c r="G381" s="129"/>
      <c r="H381" s="114"/>
      <c r="I381" s="131"/>
      <c r="J381" s="114"/>
      <c r="K381" s="132"/>
      <c r="L381" s="114"/>
      <c r="M381" s="129"/>
    </row>
    <row r="382" spans="3:13" ht="12.75">
      <c r="C382" s="193" t="s">
        <v>222</v>
      </c>
      <c r="D382" s="114" t="s">
        <v>176</v>
      </c>
      <c r="E382" s="304">
        <f>E237</f>
        <v>22</v>
      </c>
      <c r="F382" s="304"/>
      <c r="G382" s="114" t="s">
        <v>149</v>
      </c>
      <c r="H382" s="129">
        <f>H237+J237</f>
        <v>2.06</v>
      </c>
      <c r="I382" s="114" t="s">
        <v>149</v>
      </c>
      <c r="J382" s="129">
        <v>1.8</v>
      </c>
      <c r="K382" s="114" t="s">
        <v>154</v>
      </c>
      <c r="L382" s="289">
        <f>ROUND(E382*H382*J382,2)</f>
        <v>81.58</v>
      </c>
      <c r="M382" s="289"/>
    </row>
    <row r="383" spans="3:13" ht="12.75">
      <c r="C383" s="193" t="s">
        <v>221</v>
      </c>
      <c r="E383" s="128"/>
      <c r="F383" s="114"/>
      <c r="G383" s="129"/>
      <c r="H383" s="114"/>
      <c r="I383" s="131"/>
      <c r="J383" s="114"/>
      <c r="K383" s="132"/>
      <c r="L383" s="114"/>
      <c r="M383" s="129"/>
    </row>
    <row r="384" spans="3:13" ht="12.75">
      <c r="C384" s="193"/>
      <c r="E384" s="128"/>
      <c r="F384" s="114"/>
      <c r="G384" s="129"/>
      <c r="H384" s="114"/>
      <c r="I384" s="131"/>
      <c r="J384" s="114"/>
      <c r="K384" s="132"/>
      <c r="L384" s="114"/>
      <c r="M384" s="129"/>
    </row>
    <row r="385" spans="3:13" ht="12.75">
      <c r="C385" s="192" t="s">
        <v>223</v>
      </c>
      <c r="D385" s="114" t="s">
        <v>224</v>
      </c>
      <c r="E385" s="304">
        <f>E240</f>
        <v>21</v>
      </c>
      <c r="F385" s="304"/>
      <c r="G385" s="114" t="s">
        <v>149</v>
      </c>
      <c r="H385" s="129">
        <f>H240+J240</f>
        <v>2.06</v>
      </c>
      <c r="I385" s="114" t="s">
        <v>149</v>
      </c>
      <c r="J385" s="129">
        <v>1.8</v>
      </c>
      <c r="K385" s="114" t="s">
        <v>154</v>
      </c>
      <c r="L385" s="289">
        <f>ROUND(E385*H385*J385,2)</f>
        <v>77.87</v>
      </c>
      <c r="M385" s="289"/>
    </row>
    <row r="386" spans="3:13" ht="12.75">
      <c r="C386" s="193" t="s">
        <v>221</v>
      </c>
      <c r="E386" s="128"/>
      <c r="F386" s="114"/>
      <c r="G386" s="129"/>
      <c r="H386" s="114"/>
      <c r="I386" s="131"/>
      <c r="J386" s="114"/>
      <c r="K386" s="132"/>
      <c r="L386" s="114"/>
      <c r="M386" s="129"/>
    </row>
    <row r="387" spans="3:13" ht="12.75">
      <c r="C387" s="192"/>
      <c r="E387" s="128"/>
      <c r="F387" s="114"/>
      <c r="G387" s="129"/>
      <c r="H387" s="114"/>
      <c r="I387" s="131"/>
      <c r="J387" s="114"/>
      <c r="K387" s="132"/>
      <c r="L387" s="114"/>
      <c r="M387" s="129"/>
    </row>
    <row r="388" spans="3:13" ht="12.75">
      <c r="C388" s="193" t="s">
        <v>225</v>
      </c>
      <c r="D388" s="114" t="s">
        <v>180</v>
      </c>
      <c r="E388" s="304">
        <f>E243</f>
        <v>18</v>
      </c>
      <c r="F388" s="304"/>
      <c r="G388" s="114" t="s">
        <v>149</v>
      </c>
      <c r="H388" s="129">
        <f>H243+J243</f>
        <v>2.06</v>
      </c>
      <c r="I388" s="114" t="s">
        <v>149</v>
      </c>
      <c r="J388" s="129">
        <v>1.8</v>
      </c>
      <c r="K388" s="114" t="s">
        <v>154</v>
      </c>
      <c r="L388" s="289">
        <f>ROUND(E388*H388*J388,2)</f>
        <v>66.74</v>
      </c>
      <c r="M388" s="289"/>
    </row>
    <row r="389" spans="3:13" ht="12.75">
      <c r="C389" s="193" t="s">
        <v>221</v>
      </c>
      <c r="E389" s="128"/>
      <c r="F389" s="114"/>
      <c r="G389" s="129"/>
      <c r="H389" s="114"/>
      <c r="I389" s="131"/>
      <c r="J389" s="114"/>
      <c r="K389" s="132"/>
      <c r="L389" s="114"/>
      <c r="M389" s="129"/>
    </row>
    <row r="390" spans="3:13" ht="12.75">
      <c r="C390" s="193"/>
      <c r="E390" s="128"/>
      <c r="F390" s="114"/>
      <c r="G390" s="129"/>
      <c r="H390" s="114"/>
      <c r="I390" s="131"/>
      <c r="J390" s="114"/>
      <c r="K390" s="132"/>
      <c r="L390" s="114"/>
      <c r="M390" s="129"/>
    </row>
    <row r="391" spans="3:13" ht="12.75">
      <c r="C391" s="193" t="s">
        <v>226</v>
      </c>
      <c r="D391" s="114" t="s">
        <v>227</v>
      </c>
      <c r="E391" s="304">
        <f>E246</f>
        <v>27</v>
      </c>
      <c r="F391" s="304"/>
      <c r="G391" s="114" t="s">
        <v>149</v>
      </c>
      <c r="H391" s="129">
        <f>H246+J246</f>
        <v>4.32</v>
      </c>
      <c r="I391" s="114" t="s">
        <v>149</v>
      </c>
      <c r="J391" s="129">
        <v>1.5</v>
      </c>
      <c r="K391" s="114" t="s">
        <v>154</v>
      </c>
      <c r="L391" s="289">
        <f>ROUND(E391*H391*J391,2)</f>
        <v>174.96</v>
      </c>
      <c r="M391" s="289"/>
    </row>
    <row r="392" spans="3:13" ht="12.75">
      <c r="C392" s="193" t="s">
        <v>228</v>
      </c>
      <c r="E392" s="128"/>
      <c r="F392" s="114"/>
      <c r="G392" s="129"/>
      <c r="H392" s="114"/>
      <c r="I392" s="131"/>
      <c r="J392" s="114"/>
      <c r="K392" s="132"/>
      <c r="L392" s="114"/>
      <c r="M392" s="129"/>
    </row>
    <row r="393" spans="5:13" ht="12.75">
      <c r="E393" s="128"/>
      <c r="F393" s="114"/>
      <c r="G393" s="129"/>
      <c r="H393" s="114"/>
      <c r="I393" s="131"/>
      <c r="J393" s="114"/>
      <c r="K393" s="132"/>
      <c r="L393" s="114"/>
      <c r="M393" s="129"/>
    </row>
    <row r="394" spans="3:13" ht="12.75">
      <c r="C394" s="193" t="s">
        <v>157</v>
      </c>
      <c r="D394" s="114" t="s">
        <v>229</v>
      </c>
      <c r="E394" s="304">
        <f>E249</f>
        <v>38</v>
      </c>
      <c r="F394" s="304"/>
      <c r="G394" s="114" t="s">
        <v>149</v>
      </c>
      <c r="H394" s="129">
        <f>H249+J249</f>
        <v>4.32</v>
      </c>
      <c r="I394" s="114" t="s">
        <v>149</v>
      </c>
      <c r="J394" s="129">
        <v>1.5</v>
      </c>
      <c r="K394" s="114" t="s">
        <v>154</v>
      </c>
      <c r="L394" s="289">
        <f>ROUND(E394*H394*J394,2)</f>
        <v>246.24</v>
      </c>
      <c r="M394" s="289"/>
    </row>
    <row r="395" spans="3:13" ht="12.75">
      <c r="C395" s="193" t="s">
        <v>228</v>
      </c>
      <c r="E395" s="128"/>
      <c r="F395" s="114"/>
      <c r="G395" s="129"/>
      <c r="H395" s="114"/>
      <c r="I395" s="131"/>
      <c r="J395" s="114"/>
      <c r="K395" s="132"/>
      <c r="L395" s="114"/>
      <c r="M395" s="129"/>
    </row>
    <row r="396" spans="5:13" ht="12.75">
      <c r="E396" s="128"/>
      <c r="F396" s="114"/>
      <c r="G396" s="129"/>
      <c r="H396" s="114"/>
      <c r="I396" s="131"/>
      <c r="J396" s="114"/>
      <c r="K396" s="132"/>
      <c r="L396" s="114"/>
      <c r="M396" s="129"/>
    </row>
    <row r="397" spans="3:13" ht="12.75">
      <c r="C397" s="193" t="s">
        <v>230</v>
      </c>
      <c r="D397" s="114" t="s">
        <v>231</v>
      </c>
      <c r="E397" s="304">
        <f>E252</f>
        <v>22.1</v>
      </c>
      <c r="F397" s="304"/>
      <c r="G397" s="114" t="s">
        <v>149</v>
      </c>
      <c r="H397" s="129">
        <f>H252+J252</f>
        <v>4.9799999999999995</v>
      </c>
      <c r="I397" s="114" t="s">
        <v>149</v>
      </c>
      <c r="J397" s="129">
        <v>1.6</v>
      </c>
      <c r="K397" s="114" t="s">
        <v>154</v>
      </c>
      <c r="L397" s="289">
        <f>ROUND(E397*H397*J397,2)</f>
        <v>176.09</v>
      </c>
      <c r="M397" s="289"/>
    </row>
    <row r="398" spans="3:13" ht="12.75">
      <c r="C398" s="193" t="s">
        <v>232</v>
      </c>
      <c r="E398" s="128"/>
      <c r="F398" s="114"/>
      <c r="G398" s="129"/>
      <c r="H398" s="114"/>
      <c r="I398" s="131"/>
      <c r="J398" s="114"/>
      <c r="K398" s="132"/>
      <c r="L398" s="114"/>
      <c r="M398" s="129"/>
    </row>
    <row r="399" spans="5:13" ht="12.75">
      <c r="E399" s="128"/>
      <c r="F399" s="114"/>
      <c r="G399" s="129"/>
      <c r="H399" s="114"/>
      <c r="I399" s="131"/>
      <c r="J399" s="114"/>
      <c r="K399" s="132"/>
      <c r="L399" s="114"/>
      <c r="M399" s="129"/>
    </row>
    <row r="400" spans="3:13" ht="12.75">
      <c r="C400" s="193" t="s">
        <v>233</v>
      </c>
      <c r="D400" s="114" t="s">
        <v>234</v>
      </c>
      <c r="E400" s="304">
        <f>E255</f>
        <v>23</v>
      </c>
      <c r="F400" s="304"/>
      <c r="G400" s="114" t="s">
        <v>149</v>
      </c>
      <c r="H400" s="129">
        <f>H255+J255</f>
        <v>5.9399999999999995</v>
      </c>
      <c r="I400" s="114" t="s">
        <v>149</v>
      </c>
      <c r="J400" s="129">
        <v>1.9</v>
      </c>
      <c r="K400" s="114" t="s">
        <v>154</v>
      </c>
      <c r="L400" s="289">
        <f>ROUND(E400*H400*J400,2)</f>
        <v>259.58</v>
      </c>
      <c r="M400" s="289"/>
    </row>
    <row r="401" spans="3:13" ht="12.75">
      <c r="C401" s="193" t="s">
        <v>235</v>
      </c>
      <c r="E401" s="128"/>
      <c r="F401" s="114"/>
      <c r="G401" s="129"/>
      <c r="H401" s="114"/>
      <c r="I401" s="131"/>
      <c r="J401" s="114"/>
      <c r="K401" s="132"/>
      <c r="L401" s="114"/>
      <c r="M401" s="129"/>
    </row>
    <row r="402" spans="5:13" ht="12.75">
      <c r="E402" s="128"/>
      <c r="F402" s="114"/>
      <c r="G402" s="129"/>
      <c r="H402" s="114"/>
      <c r="I402" s="131"/>
      <c r="J402" s="114"/>
      <c r="K402" s="132"/>
      <c r="L402" s="114"/>
      <c r="M402" s="129"/>
    </row>
    <row r="403" spans="3:13" ht="12.75">
      <c r="C403" s="193" t="s">
        <v>236</v>
      </c>
      <c r="D403" s="114" t="s">
        <v>237</v>
      </c>
      <c r="E403" s="304">
        <f>E258</f>
        <v>23</v>
      </c>
      <c r="F403" s="304"/>
      <c r="G403" s="114" t="s">
        <v>149</v>
      </c>
      <c r="H403" s="129">
        <f>H258+J258</f>
        <v>5.9399999999999995</v>
      </c>
      <c r="I403" s="114" t="s">
        <v>149</v>
      </c>
      <c r="J403" s="129">
        <v>1.9</v>
      </c>
      <c r="K403" s="114" t="s">
        <v>154</v>
      </c>
      <c r="L403" s="289">
        <f>ROUND(E403*H403*J403,2)</f>
        <v>259.58</v>
      </c>
      <c r="M403" s="289"/>
    </row>
    <row r="404" spans="3:13" ht="12.75">
      <c r="C404" s="193" t="s">
        <v>235</v>
      </c>
      <c r="E404" s="128"/>
      <c r="F404" s="114"/>
      <c r="G404" s="129"/>
      <c r="H404" s="114"/>
      <c r="I404" s="131"/>
      <c r="J404" s="114"/>
      <c r="K404" s="132"/>
      <c r="L404" s="114"/>
      <c r="M404" s="129"/>
    </row>
    <row r="405" spans="5:13" ht="12.75">
      <c r="E405" s="128"/>
      <c r="F405" s="114"/>
      <c r="G405" s="129"/>
      <c r="H405" s="114"/>
      <c r="I405" s="131"/>
      <c r="J405" s="114"/>
      <c r="K405" s="132"/>
      <c r="L405" s="114"/>
      <c r="M405" s="129"/>
    </row>
    <row r="406" spans="3:13" ht="12.75">
      <c r="C406" s="193" t="s">
        <v>238</v>
      </c>
      <c r="D406" s="114" t="s">
        <v>239</v>
      </c>
      <c r="E406" s="304">
        <f>E261</f>
        <v>17</v>
      </c>
      <c r="F406" s="304"/>
      <c r="G406" s="114" t="s">
        <v>149</v>
      </c>
      <c r="H406" s="129">
        <f>H261+J261</f>
        <v>5.9399999999999995</v>
      </c>
      <c r="I406" s="114" t="s">
        <v>149</v>
      </c>
      <c r="J406" s="129">
        <v>2.4</v>
      </c>
      <c r="K406" s="114" t="s">
        <v>154</v>
      </c>
      <c r="L406" s="289">
        <f>ROUND(E406*H406*J406,2)</f>
        <v>242.35</v>
      </c>
      <c r="M406" s="289"/>
    </row>
    <row r="407" spans="3:13" ht="12.75">
      <c r="C407" s="193" t="s">
        <v>240</v>
      </c>
      <c r="D407" s="187"/>
      <c r="E407" s="128"/>
      <c r="F407" s="114"/>
      <c r="G407" s="129"/>
      <c r="H407" s="114"/>
      <c r="I407" s="131"/>
      <c r="J407" s="114"/>
      <c r="K407" s="132"/>
      <c r="L407" s="114"/>
      <c r="M407" s="129"/>
    </row>
    <row r="408" spans="3:13" ht="12.75">
      <c r="C408" s="193"/>
      <c r="D408" s="187"/>
      <c r="E408" s="128"/>
      <c r="F408" s="114"/>
      <c r="G408" s="129"/>
      <c r="H408" s="114"/>
      <c r="I408" s="131"/>
      <c r="J408" s="114"/>
      <c r="K408" s="132"/>
      <c r="L408" s="114"/>
      <c r="M408" s="129"/>
    </row>
    <row r="409" spans="3:13" ht="12.75">
      <c r="C409" s="193" t="s">
        <v>241</v>
      </c>
      <c r="D409" s="114" t="s">
        <v>242</v>
      </c>
      <c r="E409" s="304">
        <f>E264</f>
        <v>16</v>
      </c>
      <c r="F409" s="304"/>
      <c r="G409" s="114" t="s">
        <v>149</v>
      </c>
      <c r="H409" s="129">
        <f>H264+J264</f>
        <v>2.9</v>
      </c>
      <c r="I409" s="114" t="s">
        <v>149</v>
      </c>
      <c r="J409" s="129">
        <v>2.4</v>
      </c>
      <c r="K409" s="114" t="s">
        <v>154</v>
      </c>
      <c r="L409" s="289">
        <f>ROUND(E409*H409*J409,2)</f>
        <v>111.36</v>
      </c>
      <c r="M409" s="289"/>
    </row>
    <row r="410" spans="3:13" ht="12.75">
      <c r="C410" s="193" t="s">
        <v>240</v>
      </c>
      <c r="D410" s="187"/>
      <c r="E410" s="128"/>
      <c r="F410" s="114"/>
      <c r="G410" s="129"/>
      <c r="H410" s="114"/>
      <c r="I410" s="131"/>
      <c r="J410" s="114"/>
      <c r="K410" s="132"/>
      <c r="L410" s="114"/>
      <c r="M410" s="129"/>
    </row>
    <row r="411" spans="3:13" ht="12.75">
      <c r="C411" s="193"/>
      <c r="D411" s="187"/>
      <c r="E411" s="128"/>
      <c r="F411" s="114"/>
      <c r="G411" s="129"/>
      <c r="H411" s="114"/>
      <c r="I411" s="131"/>
      <c r="J411" s="114"/>
      <c r="K411" s="132"/>
      <c r="L411" s="114"/>
      <c r="M411" s="129"/>
    </row>
    <row r="412" spans="3:13" ht="12.75">
      <c r="C412" s="193" t="s">
        <v>243</v>
      </c>
      <c r="D412" s="114" t="s">
        <v>244</v>
      </c>
      <c r="E412" s="304">
        <f>E267</f>
        <v>16</v>
      </c>
      <c r="F412" s="304"/>
      <c r="G412" s="114" t="s">
        <v>149</v>
      </c>
      <c r="H412" s="129">
        <f>H267+J267</f>
        <v>2.9</v>
      </c>
      <c r="I412" s="114" t="s">
        <v>149</v>
      </c>
      <c r="J412" s="129">
        <v>2.4</v>
      </c>
      <c r="K412" s="114" t="s">
        <v>154</v>
      </c>
      <c r="L412" s="289">
        <f>ROUND(E412*H412*J412,2)</f>
        <v>111.36</v>
      </c>
      <c r="M412" s="289"/>
    </row>
    <row r="413" spans="3:13" ht="12.75">
      <c r="C413" s="193" t="s">
        <v>240</v>
      </c>
      <c r="D413" s="187"/>
      <c r="E413" s="128"/>
      <c r="F413" s="114"/>
      <c r="G413" s="129"/>
      <c r="H413" s="114"/>
      <c r="I413" s="131"/>
      <c r="J413" s="114"/>
      <c r="K413" s="132"/>
      <c r="L413" s="114"/>
      <c r="M413" s="129"/>
    </row>
    <row r="414" spans="3:13" ht="12.75">
      <c r="C414" s="193"/>
      <c r="E414" s="128"/>
      <c r="F414" s="114"/>
      <c r="G414" s="129"/>
      <c r="H414" s="114"/>
      <c r="I414" s="131"/>
      <c r="J414" s="114"/>
      <c r="K414" s="132"/>
      <c r="L414" s="114"/>
      <c r="M414" s="129"/>
    </row>
    <row r="415" spans="3:13" ht="12.75">
      <c r="C415" s="193" t="s">
        <v>245</v>
      </c>
      <c r="D415" s="114" t="s">
        <v>246</v>
      </c>
      <c r="E415" s="304">
        <f>E270</f>
        <v>20</v>
      </c>
      <c r="F415" s="304"/>
      <c r="G415" s="114" t="s">
        <v>149</v>
      </c>
      <c r="H415" s="129">
        <f>H270+J270</f>
        <v>7.5</v>
      </c>
      <c r="I415" s="114" t="s">
        <v>149</v>
      </c>
      <c r="J415" s="129">
        <v>3.6</v>
      </c>
      <c r="K415" s="114" t="s">
        <v>154</v>
      </c>
      <c r="L415" s="289">
        <f>ROUND(E415*H415*J415,2)</f>
        <v>540</v>
      </c>
      <c r="M415" s="289"/>
    </row>
    <row r="416" spans="3:13" ht="12.75">
      <c r="C416" s="193" t="s">
        <v>247</v>
      </c>
      <c r="D416" s="187"/>
      <c r="E416" s="128"/>
      <c r="F416" s="114"/>
      <c r="G416" s="129"/>
      <c r="H416" s="114"/>
      <c r="I416" s="131"/>
      <c r="J416" s="114"/>
      <c r="K416" s="132"/>
      <c r="L416" s="114"/>
      <c r="M416" s="129"/>
    </row>
    <row r="417" spans="5:13" ht="12.75">
      <c r="E417" s="128"/>
      <c r="F417" s="114"/>
      <c r="G417" s="129"/>
      <c r="H417" s="114"/>
      <c r="I417" s="131"/>
      <c r="J417" s="114"/>
      <c r="K417" s="132"/>
      <c r="L417" s="114"/>
      <c r="M417" s="129"/>
    </row>
    <row r="418" spans="5:13" ht="15.75">
      <c r="E418" s="203" t="s">
        <v>248</v>
      </c>
      <c r="F418" s="300">
        <f>ROUND(SUM(L358:M415),2)</f>
        <v>2466.11</v>
      </c>
      <c r="G418" s="300"/>
      <c r="H418" s="135" t="s">
        <v>256</v>
      </c>
      <c r="I418" s="131"/>
      <c r="J418" s="114"/>
      <c r="K418" s="132"/>
      <c r="L418" s="114"/>
      <c r="M418" s="129"/>
    </row>
    <row r="420" spans="1:15" ht="12.75" customHeight="1">
      <c r="A420" s="196"/>
      <c r="B420" s="302" t="s">
        <v>257</v>
      </c>
      <c r="C420" s="302"/>
      <c r="D420" s="302"/>
      <c r="E420" s="302"/>
      <c r="F420" s="302"/>
      <c r="G420" s="302"/>
      <c r="H420" s="302"/>
      <c r="I420" s="302"/>
      <c r="J420" s="302"/>
      <c r="K420" s="302"/>
      <c r="L420" s="302"/>
      <c r="M420" s="302"/>
      <c r="N420" s="302"/>
      <c r="O420" s="302"/>
    </row>
    <row r="421" spans="1:15" ht="12.75" customHeight="1">
      <c r="A421" s="196"/>
      <c r="B421" s="302"/>
      <c r="C421" s="302"/>
      <c r="D421" s="302"/>
      <c r="E421" s="302"/>
      <c r="F421" s="302"/>
      <c r="G421" s="302"/>
      <c r="H421" s="302"/>
      <c r="I421" s="302"/>
      <c r="J421" s="302"/>
      <c r="K421" s="302"/>
      <c r="L421" s="302"/>
      <c r="M421" s="302"/>
      <c r="N421" s="302"/>
      <c r="O421" s="302"/>
    </row>
    <row r="422" spans="1:15" ht="12.75" customHeight="1">
      <c r="A422" s="196"/>
      <c r="B422" s="302"/>
      <c r="C422" s="302"/>
      <c r="D422" s="302"/>
      <c r="E422" s="302"/>
      <c r="F422" s="302"/>
      <c r="G422" s="302"/>
      <c r="H422" s="302"/>
      <c r="I422" s="302"/>
      <c r="J422" s="302"/>
      <c r="K422" s="302"/>
      <c r="L422" s="302"/>
      <c r="M422" s="302"/>
      <c r="N422" s="302"/>
      <c r="O422" s="302"/>
    </row>
    <row r="423" ht="12.75">
      <c r="N423" s="101"/>
    </row>
    <row r="424" spans="5:14" ht="12.75">
      <c r="E424" s="101" t="s">
        <v>186</v>
      </c>
      <c r="F424" s="101"/>
      <c r="G424" s="101"/>
      <c r="H424" s="101" t="s">
        <v>258</v>
      </c>
      <c r="N424" s="101"/>
    </row>
    <row r="425" spans="5:14" ht="12.75">
      <c r="E425" s="101"/>
      <c r="F425" s="101"/>
      <c r="G425" s="101"/>
      <c r="H425" s="101"/>
      <c r="N425" s="101"/>
    </row>
    <row r="426" spans="4:14" ht="12.75">
      <c r="D426" s="114" t="s">
        <v>248</v>
      </c>
      <c r="E426" s="289">
        <f>F418</f>
        <v>2466.11</v>
      </c>
      <c r="F426" s="289"/>
      <c r="G426" s="129" t="s">
        <v>188</v>
      </c>
      <c r="H426" s="289">
        <f>E346</f>
        <v>1941.78</v>
      </c>
      <c r="I426" s="289"/>
      <c r="N426" s="101"/>
    </row>
    <row r="427" ht="12.75">
      <c r="N427" s="101"/>
    </row>
    <row r="428" spans="4:14" ht="12.75">
      <c r="D428" s="114" t="s">
        <v>248</v>
      </c>
      <c r="E428" s="300">
        <f>ROUND(E426-H426,20)</f>
        <v>524.33</v>
      </c>
      <c r="F428" s="300"/>
      <c r="G428" s="135" t="s">
        <v>259</v>
      </c>
      <c r="N428" s="101"/>
    </row>
    <row r="429" ht="12.75">
      <c r="N429" s="101"/>
    </row>
    <row r="430" ht="12.75">
      <c r="N430" s="101"/>
    </row>
    <row r="431" spans="2:14" ht="12.75">
      <c r="B431" s="96" t="s">
        <v>260</v>
      </c>
      <c r="N431" s="101"/>
    </row>
    <row r="432" ht="12.75">
      <c r="N432" s="101"/>
    </row>
    <row r="433" spans="5:14" ht="12.75">
      <c r="E433" s="101" t="s">
        <v>261</v>
      </c>
      <c r="F433" s="101"/>
      <c r="G433" s="129" t="s">
        <v>188</v>
      </c>
      <c r="H433" s="210" t="s">
        <v>262</v>
      </c>
      <c r="N433" s="101"/>
    </row>
    <row r="434" spans="5:14" ht="12.75">
      <c r="E434" s="101"/>
      <c r="F434" s="101"/>
      <c r="G434" s="101"/>
      <c r="H434" s="101"/>
      <c r="N434" s="101"/>
    </row>
    <row r="435" spans="4:14" ht="12.75">
      <c r="D435" s="114" t="s">
        <v>248</v>
      </c>
      <c r="E435" s="289">
        <f>E273</f>
        <v>702.6199999999999</v>
      </c>
      <c r="F435" s="289"/>
      <c r="G435" s="129" t="s">
        <v>188</v>
      </c>
      <c r="H435" s="303">
        <f>E428</f>
        <v>524.33</v>
      </c>
      <c r="I435" s="303"/>
      <c r="J435" s="149" t="s">
        <v>149</v>
      </c>
      <c r="K435" s="150">
        <v>1.27</v>
      </c>
      <c r="N435" s="101"/>
    </row>
    <row r="436" ht="12.75">
      <c r="N436" s="101"/>
    </row>
    <row r="437" spans="4:14" ht="12.75">
      <c r="D437" s="114" t="s">
        <v>248</v>
      </c>
      <c r="E437" s="289">
        <f>E435</f>
        <v>702.6199999999999</v>
      </c>
      <c r="F437" s="289"/>
      <c r="G437" s="129" t="s">
        <v>188</v>
      </c>
      <c r="H437" s="289">
        <f>H435*K435</f>
        <v>665.8991000000001</v>
      </c>
      <c r="I437" s="289"/>
      <c r="N437" s="101"/>
    </row>
    <row r="438" ht="12.75">
      <c r="N438" s="101"/>
    </row>
    <row r="439" spans="4:14" ht="12.75">
      <c r="D439" s="114" t="s">
        <v>248</v>
      </c>
      <c r="E439" s="300">
        <f>ROUND(E437-H437,20)</f>
        <v>36.7208999999998</v>
      </c>
      <c r="F439" s="300"/>
      <c r="G439" s="135" t="s">
        <v>263</v>
      </c>
      <c r="N439" s="101"/>
    </row>
    <row r="440" ht="12.75">
      <c r="N440" s="101"/>
    </row>
    <row r="441" spans="4:14" ht="12.75">
      <c r="D441" s="114" t="s">
        <v>248</v>
      </c>
      <c r="E441" s="300">
        <f>ROUND(E439-H439,20)</f>
        <v>36.7208999999998</v>
      </c>
      <c r="F441" s="300"/>
      <c r="G441" s="149" t="s">
        <v>149</v>
      </c>
      <c r="H441" s="158">
        <v>1.7</v>
      </c>
      <c r="N441" s="101"/>
    </row>
    <row r="442" ht="12.75">
      <c r="N442" s="101"/>
    </row>
    <row r="443" spans="4:14" ht="12.75">
      <c r="D443" s="114" t="s">
        <v>248</v>
      </c>
      <c r="E443" s="290">
        <f>E441*H441</f>
        <v>62.42552999999966</v>
      </c>
      <c r="F443" s="290"/>
      <c r="N443" s="101"/>
    </row>
    <row r="444" ht="12.75">
      <c r="N444" s="101"/>
    </row>
    <row r="445" spans="1:256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157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15" s="144" customFormat="1" ht="15.75" customHeight="1">
      <c r="A446" s="211"/>
      <c r="B446" s="301" t="s">
        <v>264</v>
      </c>
      <c r="C446" s="301"/>
      <c r="D446" s="301"/>
      <c r="E446" s="301"/>
      <c r="F446" s="301"/>
      <c r="G446" s="301"/>
      <c r="H446" s="301"/>
      <c r="I446" s="301"/>
      <c r="J446" s="301"/>
      <c r="K446" s="301"/>
      <c r="L446" s="301"/>
      <c r="M446" s="301"/>
      <c r="N446" s="301"/>
      <c r="O446" s="301"/>
    </row>
    <row r="447" spans="1:15" s="144" customFormat="1" ht="15.75" customHeight="1">
      <c r="A447" s="211"/>
      <c r="B447" s="301"/>
      <c r="C447" s="301"/>
      <c r="D447" s="301"/>
      <c r="E447" s="301"/>
      <c r="F447" s="301"/>
      <c r="G447" s="301"/>
      <c r="H447" s="301"/>
      <c r="I447" s="301"/>
      <c r="J447" s="301"/>
      <c r="K447" s="301"/>
      <c r="L447" s="301"/>
      <c r="M447" s="301"/>
      <c r="N447" s="301"/>
      <c r="O447" s="301"/>
    </row>
    <row r="448" spans="1:14" ht="12.75">
      <c r="A448" s="187"/>
      <c r="N448" s="101"/>
    </row>
    <row r="449" spans="1:15" ht="12.75">
      <c r="A449" s="196"/>
      <c r="B449" s="113"/>
      <c r="C449" s="117"/>
      <c r="D449" s="114"/>
      <c r="E449" s="201" t="s">
        <v>265</v>
      </c>
      <c r="F449" s="201"/>
      <c r="G449" s="201" t="s">
        <v>266</v>
      </c>
      <c r="H449" s="129"/>
      <c r="J449" s="129"/>
      <c r="K449" s="201" t="s">
        <v>267</v>
      </c>
      <c r="L449" s="130"/>
      <c r="M449" s="130"/>
      <c r="N449" s="151"/>
      <c r="O449" s="200"/>
    </row>
    <row r="450" spans="1:15" ht="12.75">
      <c r="A450" s="196"/>
      <c r="B450" s="113"/>
      <c r="C450" s="189" t="s">
        <v>213</v>
      </c>
      <c r="E450" s="201"/>
      <c r="F450" s="201"/>
      <c r="G450" s="114"/>
      <c r="H450" s="129"/>
      <c r="J450" s="129"/>
      <c r="K450" s="135"/>
      <c r="M450" s="130"/>
      <c r="N450" s="151"/>
      <c r="O450" s="200"/>
    </row>
    <row r="451" spans="1:18" ht="12.75">
      <c r="A451" s="196"/>
      <c r="B451" s="113"/>
      <c r="C451" s="190" t="s">
        <v>138</v>
      </c>
      <c r="D451" s="123" t="s">
        <v>153</v>
      </c>
      <c r="E451" s="188" t="s">
        <v>214</v>
      </c>
      <c r="F451" s="130"/>
      <c r="G451" s="212"/>
      <c r="H451" s="213"/>
      <c r="I451" s="213"/>
      <c r="J451" s="129"/>
      <c r="K451" s="289"/>
      <c r="L451" s="289"/>
      <c r="M451" s="129"/>
      <c r="N451" s="130"/>
      <c r="O451" s="133"/>
      <c r="P451" s="214"/>
      <c r="R451" s="200"/>
    </row>
    <row r="452" spans="1:256" ht="15.75">
      <c r="A452" s="215"/>
      <c r="B452" s="216"/>
      <c r="C452" s="189"/>
      <c r="D452" s="190"/>
      <c r="E452" s="217"/>
      <c r="F452" s="217"/>
      <c r="G452" s="218"/>
      <c r="H452"/>
      <c r="I452"/>
      <c r="J452" s="219"/>
      <c r="K452" s="204"/>
      <c r="L452"/>
      <c r="M452" s="219"/>
      <c r="N452" s="218"/>
      <c r="O452" s="220"/>
      <c r="P452" s="221"/>
      <c r="Q452"/>
      <c r="R452" s="22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3:4" ht="12.75">
      <c r="C453" s="189" t="s">
        <v>215</v>
      </c>
      <c r="D453" s="123"/>
    </row>
    <row r="454" spans="3:5" ht="12.75">
      <c r="C454" s="190" t="s">
        <v>138</v>
      </c>
      <c r="D454" s="123" t="s">
        <v>158</v>
      </c>
      <c r="E454" s="188" t="s">
        <v>214</v>
      </c>
    </row>
    <row r="455" spans="3:4" ht="12.75">
      <c r="C455" s="189"/>
      <c r="D455" s="191"/>
    </row>
    <row r="456" spans="3:4" ht="12.75">
      <c r="C456" s="189" t="s">
        <v>216</v>
      </c>
      <c r="D456" s="191"/>
    </row>
    <row r="457" spans="3:5" ht="12.75">
      <c r="C457" s="190" t="s">
        <v>138</v>
      </c>
      <c r="D457" s="123" t="s">
        <v>161</v>
      </c>
      <c r="E457" s="188" t="s">
        <v>214</v>
      </c>
    </row>
    <row r="458" spans="3:4" ht="12.75">
      <c r="C458" s="192"/>
      <c r="D458" s="188"/>
    </row>
    <row r="459" spans="3:4" ht="12.75">
      <c r="C459" s="192" t="s">
        <v>217</v>
      </c>
      <c r="D459" s="187"/>
    </row>
    <row r="460" spans="3:15" ht="12.75">
      <c r="C460" s="193" t="s">
        <v>138</v>
      </c>
      <c r="D460" s="114" t="s">
        <v>163</v>
      </c>
      <c r="E460" s="223">
        <f>L367</f>
        <v>33.12</v>
      </c>
      <c r="F460" s="130" t="s">
        <v>188</v>
      </c>
      <c r="G460" s="212">
        <f>N295</f>
        <v>17.46</v>
      </c>
      <c r="H460" s="213" t="s">
        <v>149</v>
      </c>
      <c r="I460" s="213">
        <v>1.27</v>
      </c>
      <c r="J460" s="129" t="s">
        <v>188</v>
      </c>
      <c r="K460" s="289">
        <f>N222</f>
        <v>0</v>
      </c>
      <c r="L460" s="289"/>
      <c r="M460" s="129" t="s">
        <v>154</v>
      </c>
      <c r="N460" s="130">
        <f>((E460-G460)*I460)-K460</f>
        <v>19.888199999999998</v>
      </c>
      <c r="O460" s="133" t="s">
        <v>268</v>
      </c>
    </row>
    <row r="461" spans="3:4" ht="12.75">
      <c r="C461" s="192"/>
      <c r="D461" s="187"/>
    </row>
    <row r="462" spans="3:4" ht="12.75">
      <c r="C462" s="189" t="s">
        <v>218</v>
      </c>
      <c r="D462" s="187"/>
    </row>
    <row r="463" spans="3:5" ht="12.75">
      <c r="C463" s="190" t="s">
        <v>138</v>
      </c>
      <c r="D463" s="123" t="s">
        <v>166</v>
      </c>
      <c r="E463" s="188" t="s">
        <v>214</v>
      </c>
    </row>
    <row r="464" spans="3:4" ht="12.75">
      <c r="C464" s="189"/>
      <c r="D464" s="188"/>
    </row>
    <row r="465" spans="3:4" ht="12.75">
      <c r="C465" s="189" t="s">
        <v>219</v>
      </c>
      <c r="D465" s="188"/>
    </row>
    <row r="466" spans="3:5" ht="12.75">
      <c r="C466" s="190" t="s">
        <v>138</v>
      </c>
      <c r="D466" s="123" t="s">
        <v>169</v>
      </c>
      <c r="E466" s="188" t="s">
        <v>214</v>
      </c>
    </row>
    <row r="467" spans="3:4" ht="12.75">
      <c r="C467" s="188"/>
      <c r="D467" s="188"/>
    </row>
    <row r="468" spans="3:4" ht="12.75">
      <c r="C468" s="188" t="s">
        <v>220</v>
      </c>
      <c r="D468" s="188"/>
    </row>
    <row r="469" spans="3:5" ht="12.75">
      <c r="C469" s="190" t="s">
        <v>138</v>
      </c>
      <c r="D469" s="123" t="s">
        <v>172</v>
      </c>
      <c r="E469" s="188" t="s">
        <v>214</v>
      </c>
    </row>
    <row r="470" ht="12.75">
      <c r="D470" s="118"/>
    </row>
    <row r="471" ht="12.75">
      <c r="C471" s="192" t="s">
        <v>218</v>
      </c>
    </row>
    <row r="472" spans="3:15" ht="12.75">
      <c r="C472" s="192" t="s">
        <v>221</v>
      </c>
      <c r="D472" s="114" t="s">
        <v>174</v>
      </c>
      <c r="E472" s="223">
        <f>L379</f>
        <v>85.28</v>
      </c>
      <c r="F472" s="130" t="s">
        <v>188</v>
      </c>
      <c r="G472" s="212">
        <f>N307</f>
        <v>44.16</v>
      </c>
      <c r="H472" s="213" t="s">
        <v>149</v>
      </c>
      <c r="I472" s="213">
        <v>1.27</v>
      </c>
      <c r="J472" s="129" t="s">
        <v>188</v>
      </c>
      <c r="K472" s="289">
        <f>N234</f>
        <v>14.21</v>
      </c>
      <c r="L472" s="289"/>
      <c r="M472" s="129" t="s">
        <v>154</v>
      </c>
      <c r="N472" s="130">
        <f>((E472-G472)*I472)-K472</f>
        <v>38.01240000000001</v>
      </c>
      <c r="O472" s="133" t="s">
        <v>268</v>
      </c>
    </row>
    <row r="473" ht="12.75">
      <c r="C473" s="192"/>
    </row>
    <row r="474" ht="12.75">
      <c r="C474" s="192" t="s">
        <v>222</v>
      </c>
    </row>
    <row r="475" spans="3:15" ht="12.75">
      <c r="C475" s="192" t="s">
        <v>221</v>
      </c>
      <c r="D475" s="114" t="s">
        <v>176</v>
      </c>
      <c r="E475" s="223">
        <f>L382</f>
        <v>81.58</v>
      </c>
      <c r="F475" s="130" t="s">
        <v>188</v>
      </c>
      <c r="G475" s="212">
        <f>N310</f>
        <v>42.239999999999995</v>
      </c>
      <c r="H475" s="213" t="s">
        <v>149</v>
      </c>
      <c r="I475" s="213">
        <v>1.27</v>
      </c>
      <c r="J475" s="129" t="s">
        <v>188</v>
      </c>
      <c r="K475" s="289">
        <f>N237</f>
        <v>13.6</v>
      </c>
      <c r="L475" s="289"/>
      <c r="M475" s="129" t="s">
        <v>154</v>
      </c>
      <c r="N475" s="130">
        <f>((E475-G475)*I475)-K475</f>
        <v>36.3618</v>
      </c>
      <c r="O475" s="133" t="s">
        <v>268</v>
      </c>
    </row>
    <row r="476" ht="12.75">
      <c r="C476" s="192"/>
    </row>
    <row r="477" ht="12.75">
      <c r="C477" s="192" t="s">
        <v>223</v>
      </c>
    </row>
    <row r="478" spans="3:15" ht="12.75">
      <c r="C478" s="192" t="s">
        <v>221</v>
      </c>
      <c r="D478" s="114" t="s">
        <v>224</v>
      </c>
      <c r="E478" s="223">
        <f>L385</f>
        <v>77.87</v>
      </c>
      <c r="F478" s="130" t="s">
        <v>188</v>
      </c>
      <c r="G478" s="212">
        <f>N313</f>
        <v>40.32</v>
      </c>
      <c r="H478" s="213" t="s">
        <v>149</v>
      </c>
      <c r="I478" s="213">
        <v>1.27</v>
      </c>
      <c r="J478" s="129" t="s">
        <v>188</v>
      </c>
      <c r="K478" s="289">
        <f>N240</f>
        <v>12.98</v>
      </c>
      <c r="L478" s="289"/>
      <c r="M478" s="129" t="s">
        <v>154</v>
      </c>
      <c r="N478" s="130">
        <f>((E478-G478)*I478)-K478</f>
        <v>34.7085</v>
      </c>
      <c r="O478" s="133" t="s">
        <v>268</v>
      </c>
    </row>
    <row r="479" ht="12.75">
      <c r="C479" s="192"/>
    </row>
    <row r="480" ht="12.75">
      <c r="C480" s="192" t="s">
        <v>225</v>
      </c>
    </row>
    <row r="481" spans="3:15" ht="12.75">
      <c r="C481" s="192" t="s">
        <v>221</v>
      </c>
      <c r="D481" s="114" t="s">
        <v>180</v>
      </c>
      <c r="E481" s="223">
        <f>L388</f>
        <v>66.74</v>
      </c>
      <c r="F481" s="130" t="s">
        <v>188</v>
      </c>
      <c r="G481" s="212">
        <f>N316</f>
        <v>34.56</v>
      </c>
      <c r="H481" s="213" t="s">
        <v>149</v>
      </c>
      <c r="I481" s="213">
        <v>1.27</v>
      </c>
      <c r="J481" s="129" t="s">
        <v>188</v>
      </c>
      <c r="K481" s="289">
        <f>N243</f>
        <v>11.12</v>
      </c>
      <c r="L481" s="289"/>
      <c r="M481" s="129" t="s">
        <v>154</v>
      </c>
      <c r="N481" s="130">
        <f>((E481-G481)*I481)-K481</f>
        <v>29.748599999999996</v>
      </c>
      <c r="O481" s="133" t="s">
        <v>268</v>
      </c>
    </row>
    <row r="482" ht="12.75">
      <c r="C482" s="192"/>
    </row>
    <row r="483" ht="12.75">
      <c r="C483" s="192" t="s">
        <v>226</v>
      </c>
    </row>
    <row r="484" spans="3:15" ht="12.75">
      <c r="C484" s="192" t="s">
        <v>228</v>
      </c>
      <c r="D484" s="114" t="s">
        <v>227</v>
      </c>
      <c r="E484" s="223">
        <f>L391</f>
        <v>174.96</v>
      </c>
      <c r="F484" s="130" t="s">
        <v>188</v>
      </c>
      <c r="G484" s="212">
        <f>N319</f>
        <v>115.29</v>
      </c>
      <c r="H484" s="213" t="s">
        <v>149</v>
      </c>
      <c r="I484" s="213">
        <v>1.27</v>
      </c>
      <c r="J484" s="129" t="s">
        <v>188</v>
      </c>
      <c r="K484" s="289">
        <f>N246</f>
        <v>145.8</v>
      </c>
      <c r="L484" s="289"/>
      <c r="M484" s="129" t="s">
        <v>154</v>
      </c>
      <c r="N484" s="130">
        <f>((E484-G484)*I484)-K484</f>
        <v>-70.01910000000001</v>
      </c>
      <c r="O484" s="133" t="s">
        <v>269</v>
      </c>
    </row>
    <row r="485" ht="12.75">
      <c r="C485" s="213"/>
    </row>
    <row r="486" ht="12.75">
      <c r="C486" s="192" t="s">
        <v>157</v>
      </c>
    </row>
    <row r="487" spans="3:15" ht="12.75">
      <c r="C487" s="192" t="s">
        <v>228</v>
      </c>
      <c r="D487" s="114" t="s">
        <v>229</v>
      </c>
      <c r="E487" s="223">
        <f>L394</f>
        <v>246.24</v>
      </c>
      <c r="F487" s="130" t="s">
        <v>188</v>
      </c>
      <c r="G487" s="212">
        <f>N322</f>
        <v>162.26000000000002</v>
      </c>
      <c r="H487" s="213" t="s">
        <v>149</v>
      </c>
      <c r="I487" s="213">
        <v>1.27</v>
      </c>
      <c r="J487" s="129" t="s">
        <v>188</v>
      </c>
      <c r="K487" s="289">
        <f>N249</f>
        <v>41.04</v>
      </c>
      <c r="L487" s="289"/>
      <c r="M487" s="129" t="s">
        <v>154</v>
      </c>
      <c r="N487" s="130">
        <f>((E487-G487)*I487)-K487</f>
        <v>65.6146</v>
      </c>
      <c r="O487" s="133" t="s">
        <v>268</v>
      </c>
    </row>
    <row r="488" ht="12.75">
      <c r="C488" s="213"/>
    </row>
    <row r="489" ht="12.75">
      <c r="C489" s="192" t="s">
        <v>230</v>
      </c>
    </row>
    <row r="490" spans="3:15" ht="12.75">
      <c r="C490" s="192" t="s">
        <v>232</v>
      </c>
      <c r="D490" s="114" t="s">
        <v>231</v>
      </c>
      <c r="E490" s="223">
        <f>L397</f>
        <v>176.09</v>
      </c>
      <c r="F490" s="130" t="s">
        <v>188</v>
      </c>
      <c r="G490" s="212">
        <f>N325</f>
        <v>127.517</v>
      </c>
      <c r="H490" s="213" t="s">
        <v>149</v>
      </c>
      <c r="I490" s="213">
        <v>1.27</v>
      </c>
      <c r="J490" s="129" t="s">
        <v>188</v>
      </c>
      <c r="K490" s="289">
        <f>N252</f>
        <v>33.02</v>
      </c>
      <c r="L490" s="289"/>
      <c r="M490" s="129" t="s">
        <v>154</v>
      </c>
      <c r="N490" s="130">
        <f>((E490-G490)*I490)-K490</f>
        <v>28.667710000000007</v>
      </c>
      <c r="O490" s="133" t="s">
        <v>268</v>
      </c>
    </row>
    <row r="491" ht="12.75">
      <c r="C491" s="213"/>
    </row>
    <row r="492" ht="12.75">
      <c r="C492" s="192" t="s">
        <v>233</v>
      </c>
    </row>
    <row r="493" spans="3:15" ht="12.75">
      <c r="C493" s="192" t="s">
        <v>235</v>
      </c>
      <c r="D493" s="114" t="s">
        <v>234</v>
      </c>
      <c r="E493" s="223">
        <f>L400</f>
        <v>259.58</v>
      </c>
      <c r="F493" s="130" t="s">
        <v>188</v>
      </c>
      <c r="G493" s="212">
        <f>N328</f>
        <v>192.27999999999997</v>
      </c>
      <c r="H493" s="213" t="s">
        <v>149</v>
      </c>
      <c r="I493" s="213">
        <v>1.27</v>
      </c>
      <c r="J493" s="129" t="s">
        <v>188</v>
      </c>
      <c r="K493" s="289">
        <f>N255</f>
        <v>188.54</v>
      </c>
      <c r="L493" s="289"/>
      <c r="M493" s="129" t="s">
        <v>154</v>
      </c>
      <c r="N493" s="130">
        <f>((E493-G493)*I493)-K493</f>
        <v>-103.06899999999997</v>
      </c>
      <c r="O493" s="133" t="s">
        <v>269</v>
      </c>
    </row>
    <row r="494" ht="12.75">
      <c r="C494" s="213"/>
    </row>
    <row r="495" ht="12.75">
      <c r="C495" s="192" t="s">
        <v>236</v>
      </c>
    </row>
    <row r="496" spans="3:15" ht="12.75">
      <c r="C496" s="192" t="s">
        <v>235</v>
      </c>
      <c r="D496" s="114" t="s">
        <v>237</v>
      </c>
      <c r="E496" s="223">
        <f>L403</f>
        <v>259.58</v>
      </c>
      <c r="F496" s="130" t="s">
        <v>188</v>
      </c>
      <c r="G496" s="212">
        <f>N331</f>
        <v>192.27999999999997</v>
      </c>
      <c r="H496" s="213" t="s">
        <v>149</v>
      </c>
      <c r="I496" s="213">
        <v>1.27</v>
      </c>
      <c r="J496" s="129" t="s">
        <v>188</v>
      </c>
      <c r="K496" s="289">
        <f>N258</f>
        <v>51.92</v>
      </c>
      <c r="L496" s="289"/>
      <c r="M496" s="129" t="s">
        <v>154</v>
      </c>
      <c r="N496" s="130">
        <f>((E496-G496)*I496)-K496</f>
        <v>33.551000000000016</v>
      </c>
      <c r="O496" s="133" t="s">
        <v>268</v>
      </c>
    </row>
    <row r="497" ht="12.75">
      <c r="C497" s="213"/>
    </row>
    <row r="498" ht="12.75">
      <c r="C498" s="192" t="s">
        <v>238</v>
      </c>
    </row>
    <row r="499" spans="3:15" ht="12.75">
      <c r="C499" s="192" t="s">
        <v>240</v>
      </c>
      <c r="D499" s="114" t="s">
        <v>239</v>
      </c>
      <c r="E499" s="223">
        <f>L406</f>
        <v>242.35</v>
      </c>
      <c r="F499" s="130" t="s">
        <v>188</v>
      </c>
      <c r="G499" s="212">
        <f>N334</f>
        <v>134.13</v>
      </c>
      <c r="H499" s="213" t="s">
        <v>149</v>
      </c>
      <c r="I499" s="213">
        <v>1.27</v>
      </c>
      <c r="J499" s="129" t="s">
        <v>188</v>
      </c>
      <c r="K499" s="289">
        <f>N261</f>
        <v>40.39</v>
      </c>
      <c r="L499" s="289"/>
      <c r="M499" s="129" t="s">
        <v>154</v>
      </c>
      <c r="N499" s="130">
        <f>((E499-G499)*I499)-K499</f>
        <v>97.0494</v>
      </c>
      <c r="O499" s="133" t="s">
        <v>268</v>
      </c>
    </row>
    <row r="500" spans="3:4" ht="12.75">
      <c r="C500" s="192"/>
      <c r="D500" s="187"/>
    </row>
    <row r="501" spans="3:4" ht="12.75">
      <c r="C501" s="192" t="s">
        <v>241</v>
      </c>
      <c r="D501" s="187"/>
    </row>
    <row r="502" spans="3:15" ht="12.75">
      <c r="C502" s="192" t="s">
        <v>240</v>
      </c>
      <c r="D502" s="114" t="s">
        <v>242</v>
      </c>
      <c r="E502" s="223">
        <f>L409</f>
        <v>111.36</v>
      </c>
      <c r="F502" s="130" t="s">
        <v>188</v>
      </c>
      <c r="G502" s="212">
        <f>N337</f>
        <v>126.24000000000001</v>
      </c>
      <c r="H502" s="213" t="s">
        <v>149</v>
      </c>
      <c r="I502" s="213">
        <v>1.27</v>
      </c>
      <c r="J502" s="129" t="s">
        <v>188</v>
      </c>
      <c r="K502" s="289">
        <f>N264</f>
        <v>0</v>
      </c>
      <c r="L502" s="289"/>
      <c r="M502" s="129" t="s">
        <v>154</v>
      </c>
      <c r="N502" s="130">
        <f>((E502-G502)*I502)-K502</f>
        <v>-18.89760000000001</v>
      </c>
      <c r="O502" s="133" t="s">
        <v>269</v>
      </c>
    </row>
    <row r="503" spans="3:4" ht="12.75">
      <c r="C503" s="192"/>
      <c r="D503" s="187"/>
    </row>
    <row r="504" spans="3:4" ht="12.75">
      <c r="C504" s="192" t="s">
        <v>243</v>
      </c>
      <c r="D504" s="187"/>
    </row>
    <row r="505" spans="3:15" ht="12.75">
      <c r="C505" s="192" t="s">
        <v>240</v>
      </c>
      <c r="D505" s="114" t="s">
        <v>244</v>
      </c>
      <c r="E505" s="223">
        <f>L412</f>
        <v>111.36</v>
      </c>
      <c r="F505" s="130" t="s">
        <v>188</v>
      </c>
      <c r="G505" s="212">
        <f>N340</f>
        <v>126.24000000000001</v>
      </c>
      <c r="H505" s="213" t="s">
        <v>149</v>
      </c>
      <c r="I505" s="213">
        <v>1.27</v>
      </c>
      <c r="J505" s="129" t="s">
        <v>188</v>
      </c>
      <c r="K505" s="289">
        <f>N267</f>
        <v>0</v>
      </c>
      <c r="L505" s="289"/>
      <c r="M505" s="129" t="s">
        <v>154</v>
      </c>
      <c r="N505" s="130">
        <f>((E505-G505)*I505)-K505</f>
        <v>-18.89760000000001</v>
      </c>
      <c r="O505" s="133" t="s">
        <v>269</v>
      </c>
    </row>
    <row r="506" spans="3:4" ht="12.75">
      <c r="C506" s="192"/>
      <c r="D506" s="187"/>
    </row>
    <row r="507" ht="12.75">
      <c r="C507" s="192" t="s">
        <v>245</v>
      </c>
    </row>
    <row r="508" spans="3:15" ht="12.75">
      <c r="C508" s="192" t="s">
        <v>247</v>
      </c>
      <c r="D508" s="114" t="s">
        <v>246</v>
      </c>
      <c r="E508" s="223">
        <f>L415</f>
        <v>540</v>
      </c>
      <c r="F508" s="130" t="s">
        <v>188</v>
      </c>
      <c r="G508" s="212">
        <f>N343</f>
        <v>586.8000000000001</v>
      </c>
      <c r="H508" s="213" t="s">
        <v>149</v>
      </c>
      <c r="I508" s="213">
        <v>1.27</v>
      </c>
      <c r="J508" s="129" t="s">
        <v>188</v>
      </c>
      <c r="K508" s="289">
        <f>N270</f>
        <v>150</v>
      </c>
      <c r="L508" s="289"/>
      <c r="M508" s="129" t="s">
        <v>154</v>
      </c>
      <c r="N508" s="130">
        <f>((E508-G508)*I508)-K508</f>
        <v>-209.4360000000001</v>
      </c>
      <c r="O508" s="133" t="s">
        <v>269</v>
      </c>
    </row>
    <row r="509" ht="12.75">
      <c r="D509" s="187"/>
    </row>
    <row r="511" spans="5:7" ht="12.75">
      <c r="E511" s="224">
        <f>SUM(N460:N481,N487:N490,N496:N499)</f>
        <v>383.60221</v>
      </c>
      <c r="G511" s="224">
        <f>SUM(N484,N493,N502:N508)</f>
        <v>-420.3193000000001</v>
      </c>
    </row>
    <row r="514" ht="12.75">
      <c r="E514" s="224">
        <f>E511+G511</f>
        <v>-36.7170900000001</v>
      </c>
    </row>
    <row r="517" spans="2:14" s="144" customFormat="1" ht="12.75">
      <c r="B517" s="136" t="s">
        <v>270</v>
      </c>
      <c r="N517" s="145"/>
    </row>
    <row r="518" spans="3:14" s="144" customFormat="1" ht="15" customHeight="1">
      <c r="C518" s="299"/>
      <c r="D518" s="299"/>
      <c r="E518" s="299"/>
      <c r="F518" s="149"/>
      <c r="G518" s="299"/>
      <c r="H518" s="299"/>
      <c r="I518" s="299"/>
      <c r="J518" s="151"/>
      <c r="K518" s="151"/>
      <c r="L518" s="151"/>
      <c r="N518" s="145"/>
    </row>
    <row r="519" spans="1:17" s="144" customFormat="1" ht="15" customHeight="1">
      <c r="A519" s="192" t="s">
        <v>217</v>
      </c>
      <c r="B519" s="114" t="s">
        <v>153</v>
      </c>
      <c r="C519" s="289">
        <f>N460</f>
        <v>19.888199999999998</v>
      </c>
      <c r="D519" s="289"/>
      <c r="E519" s="149" t="s">
        <v>149</v>
      </c>
      <c r="F519" s="158">
        <v>1.7</v>
      </c>
      <c r="G519" s="148" t="s">
        <v>154</v>
      </c>
      <c r="H519" s="290">
        <f>C519*F519</f>
        <v>33.80994</v>
      </c>
      <c r="I519" s="290"/>
      <c r="J519" s="149" t="s">
        <v>149</v>
      </c>
      <c r="K519" s="225"/>
      <c r="L519" s="148" t="s">
        <v>154</v>
      </c>
      <c r="M519" s="288">
        <f>H519*K519</f>
        <v>0</v>
      </c>
      <c r="N519" s="288"/>
      <c r="O519" s="226"/>
      <c r="P519" s="227"/>
      <c r="Q519" s="227"/>
    </row>
    <row r="520" spans="1:17" ht="15" customHeight="1">
      <c r="A520" s="192"/>
      <c r="B520" s="193"/>
      <c r="C520" s="151"/>
      <c r="D520" s="151"/>
      <c r="E520" s="151"/>
      <c r="F520" s="117"/>
      <c r="G520" s="117"/>
      <c r="H520" s="198"/>
      <c r="I520" s="198"/>
      <c r="J520" s="151"/>
      <c r="K520" s="151"/>
      <c r="L520" s="151"/>
      <c r="N520" s="101"/>
      <c r="P520" s="144"/>
      <c r="Q520" s="144"/>
    </row>
    <row r="521" spans="1:15" s="162" customFormat="1" ht="15" customHeight="1">
      <c r="A521" s="228"/>
      <c r="B521" s="229"/>
      <c r="C521" s="165"/>
      <c r="D521" s="165"/>
      <c r="E521" s="165"/>
      <c r="F521" s="230"/>
      <c r="G521" s="230"/>
      <c r="H521" s="296">
        <f>H519</f>
        <v>33.80994</v>
      </c>
      <c r="I521" s="296"/>
      <c r="J521" s="167" t="s">
        <v>149</v>
      </c>
      <c r="K521" s="231">
        <v>0.12</v>
      </c>
      <c r="L521" s="168" t="s">
        <v>154</v>
      </c>
      <c r="M521" s="295">
        <f>H521*K521</f>
        <v>4.057192799999999</v>
      </c>
      <c r="N521" s="295"/>
      <c r="O521" s="162" t="s">
        <v>271</v>
      </c>
    </row>
    <row r="522" spans="1:17" ht="15" customHeight="1">
      <c r="A522" s="192"/>
      <c r="B522" s="193"/>
      <c r="C522" s="151"/>
      <c r="D522" s="151"/>
      <c r="E522" s="151"/>
      <c r="F522" s="117"/>
      <c r="G522" s="117"/>
      <c r="H522" s="198"/>
      <c r="I522" s="198"/>
      <c r="J522" s="151"/>
      <c r="K522" s="151"/>
      <c r="L522" s="151"/>
      <c r="N522" s="101"/>
      <c r="P522" s="144"/>
      <c r="Q522" s="144"/>
    </row>
    <row r="523" spans="1:14" ht="12.75">
      <c r="A523" s="192" t="s">
        <v>218</v>
      </c>
      <c r="B523" s="114" t="s">
        <v>163</v>
      </c>
      <c r="C523" s="289">
        <f>N472</f>
        <v>38.01240000000001</v>
      </c>
      <c r="D523" s="289"/>
      <c r="E523" s="149" t="s">
        <v>149</v>
      </c>
      <c r="F523" s="158">
        <v>1.7</v>
      </c>
      <c r="G523" s="148" t="s">
        <v>154</v>
      </c>
      <c r="H523" s="290">
        <f>C523*F523</f>
        <v>64.62108</v>
      </c>
      <c r="I523" s="290"/>
      <c r="J523" s="149" t="s">
        <v>149</v>
      </c>
      <c r="K523" s="225"/>
      <c r="L523" s="148" t="s">
        <v>154</v>
      </c>
      <c r="M523" s="288">
        <f>H523*K523</f>
        <v>0</v>
      </c>
      <c r="N523" s="288"/>
    </row>
    <row r="524" spans="1:2" ht="12.75">
      <c r="A524" s="192"/>
      <c r="B524" s="194"/>
    </row>
    <row r="525" spans="1:15" s="162" customFormat="1" ht="12.75">
      <c r="A525" s="228"/>
      <c r="B525" s="232"/>
      <c r="H525" s="296">
        <f>H523</f>
        <v>64.62108</v>
      </c>
      <c r="I525" s="296"/>
      <c r="J525" s="167" t="s">
        <v>149</v>
      </c>
      <c r="K525" s="231">
        <v>1</v>
      </c>
      <c r="L525" s="168" t="s">
        <v>154</v>
      </c>
      <c r="M525" s="295">
        <f>H525*K525</f>
        <v>64.62108</v>
      </c>
      <c r="N525" s="295"/>
      <c r="O525" s="162" t="s">
        <v>271</v>
      </c>
    </row>
    <row r="526" spans="1:2" ht="12.75">
      <c r="A526" s="192"/>
      <c r="B526" s="194"/>
    </row>
    <row r="527" spans="1:14" ht="12.75">
      <c r="A527" s="192" t="s">
        <v>222</v>
      </c>
      <c r="B527" s="114" t="s">
        <v>174</v>
      </c>
      <c r="C527" s="289">
        <f>N475</f>
        <v>36.3618</v>
      </c>
      <c r="D527" s="289"/>
      <c r="E527" s="149" t="s">
        <v>149</v>
      </c>
      <c r="F527" s="158">
        <v>1.7</v>
      </c>
      <c r="G527" s="148" t="s">
        <v>154</v>
      </c>
      <c r="H527" s="290">
        <f>C527*F527</f>
        <v>61.81506</v>
      </c>
      <c r="I527" s="290"/>
      <c r="J527" s="149" t="s">
        <v>149</v>
      </c>
      <c r="K527" s="225"/>
      <c r="L527" s="148" t="s">
        <v>154</v>
      </c>
      <c r="M527" s="288">
        <f>H527*K527</f>
        <v>0</v>
      </c>
      <c r="N527" s="288"/>
    </row>
    <row r="528" spans="1:2" ht="12.75">
      <c r="A528" s="192"/>
      <c r="B528" s="194"/>
    </row>
    <row r="529" spans="1:15" s="179" customFormat="1" ht="12.75">
      <c r="A529" s="233"/>
      <c r="B529" s="234"/>
      <c r="H529" s="292">
        <v>32.13</v>
      </c>
      <c r="I529" s="292"/>
      <c r="J529" s="182" t="s">
        <v>149</v>
      </c>
      <c r="K529" s="235">
        <v>0.8</v>
      </c>
      <c r="L529" s="183" t="s">
        <v>154</v>
      </c>
      <c r="M529" s="293">
        <f>H529*K529</f>
        <v>25.704000000000004</v>
      </c>
      <c r="N529" s="293"/>
      <c r="O529" s="179" t="s">
        <v>272</v>
      </c>
    </row>
    <row r="530" spans="1:14" ht="12.75">
      <c r="A530" s="192"/>
      <c r="B530" s="194"/>
      <c r="M530" s="288"/>
      <c r="N530" s="288"/>
    </row>
    <row r="531" spans="1:15" s="179" customFormat="1" ht="12.75">
      <c r="A531" s="233"/>
      <c r="B531" s="234"/>
      <c r="H531" s="292">
        <f>H527-H529</f>
        <v>29.68506</v>
      </c>
      <c r="I531" s="292"/>
      <c r="J531" s="182" t="s">
        <v>149</v>
      </c>
      <c r="K531" s="235">
        <v>2.36</v>
      </c>
      <c r="L531" s="183" t="s">
        <v>154</v>
      </c>
      <c r="M531" s="293">
        <f>H531*K531</f>
        <v>70.0567416</v>
      </c>
      <c r="N531" s="293"/>
      <c r="O531" s="179" t="s">
        <v>273</v>
      </c>
    </row>
    <row r="532" spans="1:2" ht="12.75">
      <c r="A532" s="192"/>
      <c r="B532" s="194"/>
    </row>
    <row r="533" spans="1:14" ht="12.75">
      <c r="A533" s="192" t="s">
        <v>223</v>
      </c>
      <c r="B533" s="114" t="s">
        <v>176</v>
      </c>
      <c r="C533" s="289">
        <f>N478</f>
        <v>34.7085</v>
      </c>
      <c r="D533" s="289"/>
      <c r="E533" s="149" t="s">
        <v>149</v>
      </c>
      <c r="F533" s="158">
        <v>1.7</v>
      </c>
      <c r="G533" s="148" t="s">
        <v>154</v>
      </c>
      <c r="H533" s="290">
        <f>C533*F533</f>
        <v>59.00445</v>
      </c>
      <c r="I533" s="290"/>
      <c r="J533" s="149" t="s">
        <v>149</v>
      </c>
      <c r="K533" s="225"/>
      <c r="L533" s="148" t="s">
        <v>154</v>
      </c>
      <c r="M533" s="288">
        <f>H533*K533</f>
        <v>0</v>
      </c>
      <c r="N533" s="288"/>
    </row>
    <row r="534" spans="1:2" ht="12.75">
      <c r="A534" s="192"/>
      <c r="B534" s="194"/>
    </row>
    <row r="535" spans="1:15" s="238" customFormat="1" ht="12.75">
      <c r="A535" s="236"/>
      <c r="B535" s="237"/>
      <c r="H535" s="286">
        <f>H533</f>
        <v>59.00445</v>
      </c>
      <c r="I535" s="286"/>
      <c r="J535" s="239" t="s">
        <v>149</v>
      </c>
      <c r="K535" s="240">
        <v>2.5</v>
      </c>
      <c r="L535" s="241" t="s">
        <v>154</v>
      </c>
      <c r="M535" s="287">
        <f>H535*K535</f>
        <v>147.511125</v>
      </c>
      <c r="N535" s="287"/>
      <c r="O535" s="238" t="s">
        <v>274</v>
      </c>
    </row>
    <row r="536" spans="1:2" ht="12.75">
      <c r="A536" s="192"/>
      <c r="B536" s="194"/>
    </row>
    <row r="537" spans="1:14" ht="12.75">
      <c r="A537" s="192" t="s">
        <v>225</v>
      </c>
      <c r="B537" s="114" t="s">
        <v>224</v>
      </c>
      <c r="C537" s="289">
        <f>N481</f>
        <v>29.748599999999996</v>
      </c>
      <c r="D537" s="289"/>
      <c r="E537" s="149" t="s">
        <v>149</v>
      </c>
      <c r="F537" s="158">
        <v>1.7</v>
      </c>
      <c r="G537" s="148" t="s">
        <v>154</v>
      </c>
      <c r="H537" s="290">
        <f>C537*F537</f>
        <v>50.57261999999999</v>
      </c>
      <c r="I537" s="290"/>
      <c r="J537" s="149" t="s">
        <v>149</v>
      </c>
      <c r="K537" s="225"/>
      <c r="L537" s="148" t="s">
        <v>154</v>
      </c>
      <c r="M537" s="288">
        <f>H537*K537</f>
        <v>0</v>
      </c>
      <c r="N537" s="288"/>
    </row>
    <row r="538" spans="1:2" ht="12.75">
      <c r="A538" s="192"/>
      <c r="B538" s="194"/>
    </row>
    <row r="539" spans="1:15" s="238" customFormat="1" ht="12.75">
      <c r="A539" s="236"/>
      <c r="B539" s="237"/>
      <c r="H539" s="286">
        <f>H537</f>
        <v>50.57261999999999</v>
      </c>
      <c r="I539" s="286"/>
      <c r="J539" s="239" t="s">
        <v>149</v>
      </c>
      <c r="K539" s="240">
        <v>2</v>
      </c>
      <c r="L539" s="241" t="s">
        <v>154</v>
      </c>
      <c r="M539" s="287">
        <f>H539*K539</f>
        <v>101.14523999999999</v>
      </c>
      <c r="N539" s="287"/>
      <c r="O539" s="238" t="s">
        <v>274</v>
      </c>
    </row>
    <row r="540" spans="1:2" ht="12.75">
      <c r="A540" s="192"/>
      <c r="B540" s="194"/>
    </row>
    <row r="541" spans="1:14" ht="12.75">
      <c r="A541" s="192" t="s">
        <v>226</v>
      </c>
      <c r="B541" s="114" t="s">
        <v>275</v>
      </c>
      <c r="C541" s="289">
        <f>N484</f>
        <v>-70.01910000000001</v>
      </c>
      <c r="D541" s="289"/>
      <c r="E541" s="149" t="s">
        <v>149</v>
      </c>
      <c r="F541" s="158">
        <v>1.7</v>
      </c>
      <c r="G541" s="148" t="s">
        <v>154</v>
      </c>
      <c r="H541" s="290">
        <f>C541*F541</f>
        <v>-119.03247000000002</v>
      </c>
      <c r="I541" s="290"/>
      <c r="J541" s="149" t="s">
        <v>149</v>
      </c>
      <c r="L541" s="148" t="s">
        <v>154</v>
      </c>
      <c r="M541" s="288">
        <f>H541*K541</f>
        <v>0</v>
      </c>
      <c r="N541" s="288"/>
    </row>
    <row r="542" spans="1:2" ht="12.75">
      <c r="A542" s="101"/>
      <c r="B542" s="194"/>
    </row>
    <row r="543" spans="1:15" s="173" customFormat="1" ht="12.75">
      <c r="A543" s="242"/>
      <c r="B543" s="243"/>
      <c r="H543" s="297">
        <f>H541+H547</f>
        <v>-7.487650000000031</v>
      </c>
      <c r="I543" s="297"/>
      <c r="J543" s="176" t="s">
        <v>149</v>
      </c>
      <c r="L543" s="177" t="s">
        <v>154</v>
      </c>
      <c r="O543" s="173" t="s">
        <v>276</v>
      </c>
    </row>
    <row r="544" spans="1:2" ht="12.75">
      <c r="A544" s="101"/>
      <c r="B544" s="194"/>
    </row>
    <row r="545" spans="1:14" ht="12.75">
      <c r="A545" s="192" t="s">
        <v>157</v>
      </c>
      <c r="B545" s="114" t="s">
        <v>277</v>
      </c>
      <c r="C545" s="289">
        <f>N487</f>
        <v>65.6146</v>
      </c>
      <c r="D545" s="289"/>
      <c r="E545" s="149" t="s">
        <v>149</v>
      </c>
      <c r="F545" s="158">
        <v>1.7</v>
      </c>
      <c r="G545" s="148" t="s">
        <v>154</v>
      </c>
      <c r="H545" s="290">
        <f>C545*F545</f>
        <v>111.54481999999999</v>
      </c>
      <c r="I545" s="290"/>
      <c r="J545" s="149" t="s">
        <v>149</v>
      </c>
      <c r="L545" s="148" t="s">
        <v>154</v>
      </c>
      <c r="M545" s="288">
        <f>H545*K545</f>
        <v>0</v>
      </c>
      <c r="N545" s="288"/>
    </row>
    <row r="546" spans="1:2" ht="12.75">
      <c r="A546" s="101"/>
      <c r="B546" s="144"/>
    </row>
    <row r="547" spans="1:15" s="173" customFormat="1" ht="12.75">
      <c r="A547" s="242"/>
      <c r="H547" s="297">
        <f>H545</f>
        <v>111.54481999999999</v>
      </c>
      <c r="I547" s="297"/>
      <c r="J547" s="176" t="s">
        <v>149</v>
      </c>
      <c r="K547" s="244">
        <v>0.78</v>
      </c>
      <c r="L547" s="177" t="s">
        <v>154</v>
      </c>
      <c r="M547" s="298">
        <f>H547*K547</f>
        <v>87.00495959999999</v>
      </c>
      <c r="N547" s="298"/>
      <c r="O547" s="173" t="s">
        <v>278</v>
      </c>
    </row>
    <row r="548" spans="1:2" ht="12.75">
      <c r="A548" s="101"/>
      <c r="B548" s="144"/>
    </row>
    <row r="549" spans="1:14" ht="12.75">
      <c r="A549" s="192" t="s">
        <v>230</v>
      </c>
      <c r="B549" s="114" t="s">
        <v>279</v>
      </c>
      <c r="C549" s="289">
        <f>N490</f>
        <v>28.667710000000007</v>
      </c>
      <c r="D549" s="289"/>
      <c r="E549" s="149" t="s">
        <v>149</v>
      </c>
      <c r="F549" s="158">
        <v>1.7</v>
      </c>
      <c r="G549" s="148" t="s">
        <v>154</v>
      </c>
      <c r="H549" s="290">
        <f>C549*F549</f>
        <v>48.73510700000001</v>
      </c>
      <c r="I549" s="290"/>
      <c r="J549" s="149" t="s">
        <v>149</v>
      </c>
      <c r="L549" s="148" t="s">
        <v>154</v>
      </c>
      <c r="M549" s="288">
        <f>H549*K549</f>
        <v>0</v>
      </c>
      <c r="N549" s="288"/>
    </row>
    <row r="550" spans="1:2" ht="12.75">
      <c r="A550" s="101"/>
      <c r="B550" s="144"/>
    </row>
    <row r="551" spans="1:15" s="238" customFormat="1" ht="12.75">
      <c r="A551" s="245"/>
      <c r="H551" s="286">
        <f>H549</f>
        <v>48.73510700000001</v>
      </c>
      <c r="I551" s="286"/>
      <c r="J551" s="239" t="s">
        <v>149</v>
      </c>
      <c r="K551" s="240">
        <v>2.92</v>
      </c>
      <c r="L551" s="241" t="s">
        <v>154</v>
      </c>
      <c r="M551" s="287">
        <f>H551*K551</f>
        <v>142.30651244000003</v>
      </c>
      <c r="N551" s="287"/>
      <c r="O551" s="238" t="s">
        <v>274</v>
      </c>
    </row>
    <row r="552" spans="1:2" ht="12.75">
      <c r="A552" s="101"/>
      <c r="B552" s="144"/>
    </row>
    <row r="553" spans="1:14" ht="12.75">
      <c r="A553" s="192" t="s">
        <v>233</v>
      </c>
      <c r="B553" s="114" t="s">
        <v>280</v>
      </c>
      <c r="C553" s="289">
        <f>N493</f>
        <v>-103.06899999999997</v>
      </c>
      <c r="D553" s="289"/>
      <c r="E553" s="149" t="s">
        <v>149</v>
      </c>
      <c r="F553" s="158">
        <v>1.7</v>
      </c>
      <c r="G553" s="148" t="s">
        <v>154</v>
      </c>
      <c r="H553" s="290">
        <f>C553*F553</f>
        <v>-175.21729999999994</v>
      </c>
      <c r="I553" s="290"/>
      <c r="J553" s="149" t="s">
        <v>149</v>
      </c>
      <c r="L553" s="148" t="s">
        <v>154</v>
      </c>
      <c r="M553" s="288">
        <f>H553*K553</f>
        <v>0</v>
      </c>
      <c r="N553" s="288"/>
    </row>
    <row r="554" spans="1:2" ht="12.75">
      <c r="A554" s="101"/>
      <c r="B554" s="144"/>
    </row>
    <row r="555" spans="1:15" s="162" customFormat="1" ht="12.75">
      <c r="A555" s="166"/>
      <c r="H555" s="294">
        <f>H553+H521</f>
        <v>-141.40735999999993</v>
      </c>
      <c r="I555" s="294"/>
      <c r="J555" s="167" t="s">
        <v>149</v>
      </c>
      <c r="L555" s="168" t="s">
        <v>154</v>
      </c>
      <c r="O555" s="162" t="s">
        <v>281</v>
      </c>
    </row>
    <row r="556" spans="1:2" ht="12.75">
      <c r="A556" s="101"/>
      <c r="B556" s="144"/>
    </row>
    <row r="557" spans="1:15" s="162" customFormat="1" ht="12.75">
      <c r="A557" s="166"/>
      <c r="H557" s="294">
        <f>H555+H525</f>
        <v>-76.78627999999992</v>
      </c>
      <c r="I557" s="294"/>
      <c r="J557" s="167" t="s">
        <v>149</v>
      </c>
      <c r="L557" s="168" t="s">
        <v>154</v>
      </c>
      <c r="O557" s="162" t="s">
        <v>282</v>
      </c>
    </row>
    <row r="558" spans="1:2" ht="12.75">
      <c r="A558" s="101"/>
      <c r="B558" s="144"/>
    </row>
    <row r="559" spans="1:15" s="162" customFormat="1" ht="12.75">
      <c r="A559" s="166"/>
      <c r="H559" s="294">
        <f>H557+H565</f>
        <v>-19.749579999999895</v>
      </c>
      <c r="I559" s="294"/>
      <c r="J559" s="167" t="s">
        <v>149</v>
      </c>
      <c r="L559" s="168" t="s">
        <v>154</v>
      </c>
      <c r="O559" s="162" t="s">
        <v>283</v>
      </c>
    </row>
    <row r="560" spans="1:2" ht="12.75">
      <c r="A560" s="101"/>
      <c r="B560" s="144"/>
    </row>
    <row r="561" spans="1:15" s="162" customFormat="1" ht="12.75">
      <c r="A561" s="166"/>
      <c r="H561" s="294">
        <f>-H559</f>
        <v>19.749579999999895</v>
      </c>
      <c r="I561" s="294"/>
      <c r="J561" s="167" t="s">
        <v>149</v>
      </c>
      <c r="K561" s="231">
        <f>1.24+17.6</f>
        <v>18.84</v>
      </c>
      <c r="L561" s="168" t="s">
        <v>154</v>
      </c>
      <c r="M561" s="295">
        <f>H561*K561</f>
        <v>372.082087199998</v>
      </c>
      <c r="N561" s="295"/>
      <c r="O561" s="162" t="s">
        <v>284</v>
      </c>
    </row>
    <row r="562" spans="1:2" ht="12.75">
      <c r="A562" s="101"/>
      <c r="B562" s="144"/>
    </row>
    <row r="563" spans="1:14" ht="12.75">
      <c r="A563" s="192" t="s">
        <v>236</v>
      </c>
      <c r="B563" s="114" t="s">
        <v>285</v>
      </c>
      <c r="C563" s="289">
        <f>N496</f>
        <v>33.551000000000016</v>
      </c>
      <c r="D563" s="289"/>
      <c r="E563" s="149" t="s">
        <v>149</v>
      </c>
      <c r="F563" s="158">
        <v>1.7</v>
      </c>
      <c r="G563" s="148" t="s">
        <v>154</v>
      </c>
      <c r="H563" s="290">
        <f>C563*F563</f>
        <v>57.036700000000025</v>
      </c>
      <c r="I563" s="290"/>
      <c r="J563" s="149" t="s">
        <v>149</v>
      </c>
      <c r="L563" s="148" t="s">
        <v>154</v>
      </c>
      <c r="M563" s="288">
        <f>H563*K563</f>
        <v>0</v>
      </c>
      <c r="N563" s="288"/>
    </row>
    <row r="564" spans="1:2" ht="12.75">
      <c r="A564" s="101"/>
      <c r="B564" s="144"/>
    </row>
    <row r="565" spans="1:15" s="162" customFormat="1" ht="12.75">
      <c r="A565" s="166"/>
      <c r="H565" s="296">
        <f>H563</f>
        <v>57.036700000000025</v>
      </c>
      <c r="I565" s="296"/>
      <c r="J565" s="167" t="s">
        <v>149</v>
      </c>
      <c r="K565" s="231">
        <v>1.2</v>
      </c>
      <c r="L565" s="168" t="s">
        <v>154</v>
      </c>
      <c r="M565" s="295">
        <f>H565*K565</f>
        <v>68.44404000000003</v>
      </c>
      <c r="N565" s="295"/>
      <c r="O565" s="162" t="s">
        <v>271</v>
      </c>
    </row>
    <row r="566" spans="1:2" ht="12.75">
      <c r="A566" s="101"/>
      <c r="B566" s="144"/>
    </row>
    <row r="567" spans="1:14" ht="12.75">
      <c r="A567" s="192" t="s">
        <v>238</v>
      </c>
      <c r="B567" s="114" t="s">
        <v>239</v>
      </c>
      <c r="C567" s="289">
        <f>N499</f>
        <v>97.0494</v>
      </c>
      <c r="D567" s="289"/>
      <c r="E567" s="149" t="s">
        <v>149</v>
      </c>
      <c r="F567" s="158">
        <v>1.7</v>
      </c>
      <c r="G567" s="148" t="s">
        <v>154</v>
      </c>
      <c r="H567" s="290">
        <f>C567*F567</f>
        <v>164.98398</v>
      </c>
      <c r="I567" s="290"/>
      <c r="J567" s="149" t="s">
        <v>149</v>
      </c>
      <c r="L567" s="148" t="s">
        <v>154</v>
      </c>
      <c r="M567" s="288">
        <f>H567*K567</f>
        <v>0</v>
      </c>
      <c r="N567" s="288"/>
    </row>
    <row r="568" spans="1:2" ht="12.75">
      <c r="A568" s="192"/>
      <c r="B568" s="144"/>
    </row>
    <row r="569" spans="1:15" s="238" customFormat="1" ht="12.75">
      <c r="A569" s="236"/>
      <c r="H569" s="286">
        <f>H567</f>
        <v>164.98398</v>
      </c>
      <c r="I569" s="286"/>
      <c r="J569" s="239" t="s">
        <v>149</v>
      </c>
      <c r="K569" s="240">
        <v>4.24</v>
      </c>
      <c r="L569" s="241" t="s">
        <v>154</v>
      </c>
      <c r="M569" s="287">
        <f>H569*K569</f>
        <v>699.5320752</v>
      </c>
      <c r="N569" s="287"/>
      <c r="O569" s="238" t="s">
        <v>274</v>
      </c>
    </row>
    <row r="570" spans="1:2" ht="12.75">
      <c r="A570" s="192"/>
      <c r="B570" s="144"/>
    </row>
    <row r="571" spans="1:14" ht="12.75">
      <c r="A571" s="192" t="s">
        <v>241</v>
      </c>
      <c r="B571" s="114" t="s">
        <v>242</v>
      </c>
      <c r="C571" s="289">
        <f>N502</f>
        <v>-18.89760000000001</v>
      </c>
      <c r="D571" s="289"/>
      <c r="E571" s="149" t="s">
        <v>149</v>
      </c>
      <c r="F571" s="158">
        <v>1.7</v>
      </c>
      <c r="G571" s="148" t="s">
        <v>154</v>
      </c>
      <c r="H571" s="290">
        <f>C571*F571</f>
        <v>-32.125920000000015</v>
      </c>
      <c r="I571" s="290"/>
      <c r="J571" s="149" t="s">
        <v>149</v>
      </c>
      <c r="L571" s="148" t="s">
        <v>154</v>
      </c>
      <c r="M571" s="288">
        <f>H571*K571</f>
        <v>0</v>
      </c>
      <c r="N571" s="288"/>
    </row>
    <row r="572" spans="1:2" ht="12.75">
      <c r="A572" s="192"/>
      <c r="B572" s="144"/>
    </row>
    <row r="573" spans="1:15" s="179" customFormat="1" ht="12.75">
      <c r="A573" s="233"/>
      <c r="H573" s="291">
        <f>H571</f>
        <v>-32.125920000000015</v>
      </c>
      <c r="I573" s="291"/>
      <c r="J573" s="182" t="s">
        <v>149</v>
      </c>
      <c r="L573" s="183" t="s">
        <v>154</v>
      </c>
      <c r="O573" s="179" t="s">
        <v>286</v>
      </c>
    </row>
    <row r="574" spans="1:2" ht="12.75">
      <c r="A574" s="192"/>
      <c r="B574" s="144"/>
    </row>
    <row r="575" spans="1:14" ht="12.75">
      <c r="A575" s="192" t="s">
        <v>243</v>
      </c>
      <c r="B575" s="114" t="s">
        <v>244</v>
      </c>
      <c r="C575" s="289">
        <f>N505</f>
        <v>-18.89760000000001</v>
      </c>
      <c r="D575" s="289"/>
      <c r="E575" s="149" t="s">
        <v>149</v>
      </c>
      <c r="F575" s="158">
        <v>1.7</v>
      </c>
      <c r="G575" s="148" t="s">
        <v>154</v>
      </c>
      <c r="H575" s="290">
        <f>C575*F575</f>
        <v>-32.125920000000015</v>
      </c>
      <c r="I575" s="290"/>
      <c r="J575" s="149" t="s">
        <v>149</v>
      </c>
      <c r="L575" s="148" t="s">
        <v>154</v>
      </c>
      <c r="M575" s="288">
        <f>H575*K575</f>
        <v>0</v>
      </c>
      <c r="N575" s="288"/>
    </row>
    <row r="576" spans="1:2" ht="12.75">
      <c r="A576" s="192"/>
      <c r="B576" s="144"/>
    </row>
    <row r="577" spans="1:15" s="179" customFormat="1" ht="12.75">
      <c r="A577" s="233"/>
      <c r="H577" s="292">
        <f>H531</f>
        <v>29.68506</v>
      </c>
      <c r="I577" s="292"/>
      <c r="J577" s="182" t="s">
        <v>149</v>
      </c>
      <c r="L577" s="183" t="s">
        <v>154</v>
      </c>
      <c r="O577" s="179" t="s">
        <v>287</v>
      </c>
    </row>
    <row r="578" spans="1:2" ht="12.75">
      <c r="A578" s="192"/>
      <c r="B578" s="144"/>
    </row>
    <row r="579" spans="1:15" s="179" customFormat="1" ht="12.75">
      <c r="A579" s="233"/>
      <c r="H579" s="291">
        <f>-(H575+H531)</f>
        <v>2.440860000000015</v>
      </c>
      <c r="I579" s="291"/>
      <c r="J579" s="182" t="s">
        <v>149</v>
      </c>
      <c r="K579" s="235">
        <f>5.16+17.6</f>
        <v>22.76</v>
      </c>
      <c r="L579" s="183" t="s">
        <v>154</v>
      </c>
      <c r="M579" s="293">
        <f>H579*K579</f>
        <v>55.55397360000034</v>
      </c>
      <c r="N579" s="293"/>
      <c r="O579" s="179" t="s">
        <v>288</v>
      </c>
    </row>
    <row r="580" spans="1:2" ht="12.75">
      <c r="A580" s="192"/>
      <c r="B580" s="144"/>
    </row>
    <row r="581" spans="1:2" ht="12.75">
      <c r="A581" s="192"/>
      <c r="B581" s="144"/>
    </row>
    <row r="582" spans="1:14" ht="12.75">
      <c r="A582" s="192" t="s">
        <v>245</v>
      </c>
      <c r="B582" s="114" t="s">
        <v>246</v>
      </c>
      <c r="C582" s="289">
        <f>N508</f>
        <v>-209.4360000000001</v>
      </c>
      <c r="D582" s="289"/>
      <c r="E582" s="149" t="s">
        <v>149</v>
      </c>
      <c r="F582" s="158">
        <v>1.7</v>
      </c>
      <c r="G582" s="148" t="s">
        <v>154</v>
      </c>
      <c r="H582" s="290">
        <f>C582*F582</f>
        <v>-356.0412000000002</v>
      </c>
      <c r="I582" s="290"/>
      <c r="J582" s="149" t="s">
        <v>149</v>
      </c>
      <c r="L582" s="148" t="s">
        <v>154</v>
      </c>
      <c r="M582" s="288">
        <f>H582*K582</f>
        <v>0</v>
      </c>
      <c r="N582" s="288"/>
    </row>
    <row r="584" spans="8:15" s="238" customFormat="1" ht="12.75">
      <c r="H584" s="286">
        <f>H582+H569</f>
        <v>-191.05722000000017</v>
      </c>
      <c r="I584" s="286"/>
      <c r="J584" s="239" t="s">
        <v>149</v>
      </c>
      <c r="L584" s="241" t="s">
        <v>154</v>
      </c>
      <c r="O584" s="238" t="s">
        <v>289</v>
      </c>
    </row>
    <row r="586" spans="8:15" s="238" customFormat="1" ht="12.75">
      <c r="H586" s="286">
        <f>H584+H535</f>
        <v>-132.05277000000018</v>
      </c>
      <c r="I586" s="286"/>
      <c r="J586" s="239" t="s">
        <v>149</v>
      </c>
      <c r="L586" s="241" t="s">
        <v>154</v>
      </c>
      <c r="O586" s="238" t="s">
        <v>290</v>
      </c>
    </row>
    <row r="588" spans="8:15" s="238" customFormat="1" ht="12.75">
      <c r="H588" s="286">
        <f>H586+H539</f>
        <v>-81.48015000000018</v>
      </c>
      <c r="I588" s="286"/>
      <c r="J588" s="239" t="s">
        <v>149</v>
      </c>
      <c r="L588" s="241" t="s">
        <v>154</v>
      </c>
      <c r="O588" s="238" t="s">
        <v>291</v>
      </c>
    </row>
    <row r="590" spans="8:15" s="238" customFormat="1" ht="12.75">
      <c r="H590" s="286">
        <f>H588+H551</f>
        <v>-32.745043000000166</v>
      </c>
      <c r="I590" s="286"/>
      <c r="J590" s="239" t="s">
        <v>149</v>
      </c>
      <c r="L590" s="241" t="s">
        <v>154</v>
      </c>
      <c r="O590" s="238" t="s">
        <v>292</v>
      </c>
    </row>
    <row r="592" spans="8:15" s="238" customFormat="1" ht="12.75">
      <c r="H592" s="286">
        <f>-H590</f>
        <v>32.745043000000166</v>
      </c>
      <c r="I592" s="286"/>
      <c r="J592" s="239" t="s">
        <v>149</v>
      </c>
      <c r="K592" s="240">
        <f>7.32+17.6</f>
        <v>24.92</v>
      </c>
      <c r="L592" s="241" t="s">
        <v>154</v>
      </c>
      <c r="M592" s="287">
        <f>H592*K592</f>
        <v>816.0064715600042</v>
      </c>
      <c r="N592" s="287"/>
      <c r="O592" s="238" t="s">
        <v>284</v>
      </c>
    </row>
    <row r="594" spans="6:13" ht="12.75">
      <c r="F594" s="64" t="s">
        <v>293</v>
      </c>
      <c r="H594" s="288">
        <f>M592+M579+M561</f>
        <v>1243.6425323600024</v>
      </c>
      <c r="I594" s="288"/>
      <c r="K594" s="170">
        <f>H592+H579+H561</f>
        <v>54.935483000000076</v>
      </c>
      <c r="M594" s="246">
        <f>H594/K594</f>
        <v>22.63823788279063</v>
      </c>
    </row>
    <row r="595" ht="12.75">
      <c r="K595" s="170"/>
    </row>
    <row r="596" spans="6:13" ht="12.75">
      <c r="F596" s="64" t="s">
        <v>294</v>
      </c>
      <c r="H596" s="288">
        <f>M569+M565+M551+M547+M539+M535+M531+M529+M525+M521</f>
        <v>1410.3829666399997</v>
      </c>
      <c r="I596" s="288"/>
      <c r="K596" s="170">
        <f>H569+H565+H551+H547+H539+H535+H531+H529+H525+H521</f>
        <v>652.123757</v>
      </c>
      <c r="M596" s="246">
        <f>H596/K596</f>
        <v>2.162753544094545</v>
      </c>
    </row>
  </sheetData>
  <sheetProtection selectLockedCells="1" selectUnlockedCells="1"/>
  <mergeCells count="433">
    <mergeCell ref="B5:O6"/>
    <mergeCell ref="B8:O9"/>
    <mergeCell ref="B11:O14"/>
    <mergeCell ref="E18:F18"/>
    <mergeCell ref="H18:J18"/>
    <mergeCell ref="E20:F20"/>
    <mergeCell ref="N20:O20"/>
    <mergeCell ref="E23:F23"/>
    <mergeCell ref="N23:O23"/>
    <mergeCell ref="E26:F26"/>
    <mergeCell ref="N26:O26"/>
    <mergeCell ref="E29:F29"/>
    <mergeCell ref="N29:O29"/>
    <mergeCell ref="E32:F32"/>
    <mergeCell ref="N32:O32"/>
    <mergeCell ref="E35:F35"/>
    <mergeCell ref="N35:O35"/>
    <mergeCell ref="E38:F38"/>
    <mergeCell ref="N38:O38"/>
    <mergeCell ref="E41:F41"/>
    <mergeCell ref="N41:O41"/>
    <mergeCell ref="E44:F44"/>
    <mergeCell ref="N44:O44"/>
    <mergeCell ref="E47:F47"/>
    <mergeCell ref="N47:O47"/>
    <mergeCell ref="E50:F50"/>
    <mergeCell ref="N50:O50"/>
    <mergeCell ref="E53:F53"/>
    <mergeCell ref="E57:F57"/>
    <mergeCell ref="K57:L57"/>
    <mergeCell ref="E59:F59"/>
    <mergeCell ref="H59:I59"/>
    <mergeCell ref="K59:L59"/>
    <mergeCell ref="E62:F62"/>
    <mergeCell ref="H62:I62"/>
    <mergeCell ref="K62:L62"/>
    <mergeCell ref="E65:F65"/>
    <mergeCell ref="H65:I65"/>
    <mergeCell ref="K65:L65"/>
    <mergeCell ref="E68:F68"/>
    <mergeCell ref="H68:I68"/>
    <mergeCell ref="K68:L68"/>
    <mergeCell ref="E71:F71"/>
    <mergeCell ref="H71:I71"/>
    <mergeCell ref="K71:L71"/>
    <mergeCell ref="E74:F74"/>
    <mergeCell ref="H74:I74"/>
    <mergeCell ref="K74:L74"/>
    <mergeCell ref="E77:F77"/>
    <mergeCell ref="H77:I77"/>
    <mergeCell ref="K77:L77"/>
    <mergeCell ref="E80:F80"/>
    <mergeCell ref="H80:I80"/>
    <mergeCell ref="K80:L80"/>
    <mergeCell ref="E83:F83"/>
    <mergeCell ref="H83:I83"/>
    <mergeCell ref="K83:L83"/>
    <mergeCell ref="E86:F86"/>
    <mergeCell ref="H86:I86"/>
    <mergeCell ref="K86:L86"/>
    <mergeCell ref="E89:F89"/>
    <mergeCell ref="H89:I89"/>
    <mergeCell ref="K89:L89"/>
    <mergeCell ref="E92:F92"/>
    <mergeCell ref="G98:H98"/>
    <mergeCell ref="C105:O106"/>
    <mergeCell ref="I117:J117"/>
    <mergeCell ref="I119:J119"/>
    <mergeCell ref="D130:E130"/>
    <mergeCell ref="G130:H130"/>
    <mergeCell ref="J130:K130"/>
    <mergeCell ref="M130:N130"/>
    <mergeCell ref="P130:Q130"/>
    <mergeCell ref="J132:K132"/>
    <mergeCell ref="M132:N132"/>
    <mergeCell ref="P132:Q132"/>
    <mergeCell ref="D134:E134"/>
    <mergeCell ref="G134:H134"/>
    <mergeCell ref="J134:K134"/>
    <mergeCell ref="M134:N134"/>
    <mergeCell ref="P134:Q134"/>
    <mergeCell ref="J136:K136"/>
    <mergeCell ref="M136:N136"/>
    <mergeCell ref="P136:Q136"/>
    <mergeCell ref="J138:K138"/>
    <mergeCell ref="M138:N138"/>
    <mergeCell ref="R138:S138"/>
    <mergeCell ref="U138:V138"/>
    <mergeCell ref="R140:S140"/>
    <mergeCell ref="U140:V140"/>
    <mergeCell ref="J142:K142"/>
    <mergeCell ref="M142:N142"/>
    <mergeCell ref="R142:S142"/>
    <mergeCell ref="U142:V142"/>
    <mergeCell ref="R144:S144"/>
    <mergeCell ref="U144:V144"/>
    <mergeCell ref="D146:E146"/>
    <mergeCell ref="G146:H146"/>
    <mergeCell ref="J146:K146"/>
    <mergeCell ref="M146:N146"/>
    <mergeCell ref="P146:Q146"/>
    <mergeCell ref="D149:E149"/>
    <mergeCell ref="G149:H149"/>
    <mergeCell ref="J149:K149"/>
    <mergeCell ref="M149:N149"/>
    <mergeCell ref="P149:Q149"/>
    <mergeCell ref="J151:K151"/>
    <mergeCell ref="M151:N151"/>
    <mergeCell ref="P151:Q151"/>
    <mergeCell ref="J153:K153"/>
    <mergeCell ref="M153:N153"/>
    <mergeCell ref="R153:S153"/>
    <mergeCell ref="U153:V153"/>
    <mergeCell ref="R155:S155"/>
    <mergeCell ref="U155:V155"/>
    <mergeCell ref="D157:E157"/>
    <mergeCell ref="G157:H157"/>
    <mergeCell ref="J157:K157"/>
    <mergeCell ref="M157:N157"/>
    <mergeCell ref="P157:Q157"/>
    <mergeCell ref="J159:K159"/>
    <mergeCell ref="M159:N159"/>
    <mergeCell ref="P159:Q159"/>
    <mergeCell ref="J161:K161"/>
    <mergeCell ref="M161:N161"/>
    <mergeCell ref="R161:S161"/>
    <mergeCell ref="U161:V161"/>
    <mergeCell ref="R163:S163"/>
    <mergeCell ref="U163:V163"/>
    <mergeCell ref="J165:K165"/>
    <mergeCell ref="M165:N165"/>
    <mergeCell ref="R165:S165"/>
    <mergeCell ref="U165:V165"/>
    <mergeCell ref="R167:S167"/>
    <mergeCell ref="U167:V167"/>
    <mergeCell ref="J169:K169"/>
    <mergeCell ref="M169:N169"/>
    <mergeCell ref="R169:S169"/>
    <mergeCell ref="U169:V169"/>
    <mergeCell ref="R171:S171"/>
    <mergeCell ref="U171:V171"/>
    <mergeCell ref="R173:S173"/>
    <mergeCell ref="U173:V173"/>
    <mergeCell ref="J175:K175"/>
    <mergeCell ref="J176:K176"/>
    <mergeCell ref="J178:K178"/>
    <mergeCell ref="B182:N189"/>
    <mergeCell ref="B192:O192"/>
    <mergeCell ref="B197:D197"/>
    <mergeCell ref="B199:L200"/>
    <mergeCell ref="B202:L203"/>
    <mergeCell ref="B205:L207"/>
    <mergeCell ref="E211:F211"/>
    <mergeCell ref="H211:J211"/>
    <mergeCell ref="E213:F213"/>
    <mergeCell ref="N213:O213"/>
    <mergeCell ref="E216:F216"/>
    <mergeCell ref="N216:O216"/>
    <mergeCell ref="E219:F219"/>
    <mergeCell ref="N219:O219"/>
    <mergeCell ref="E222:F222"/>
    <mergeCell ref="N222:O222"/>
    <mergeCell ref="E225:F225"/>
    <mergeCell ref="N225:O225"/>
    <mergeCell ref="E228:F228"/>
    <mergeCell ref="N228:O228"/>
    <mergeCell ref="E231:F231"/>
    <mergeCell ref="N231:O231"/>
    <mergeCell ref="E234:F234"/>
    <mergeCell ref="N234:O234"/>
    <mergeCell ref="E237:F237"/>
    <mergeCell ref="N237:O237"/>
    <mergeCell ref="E240:F240"/>
    <mergeCell ref="N240:O240"/>
    <mergeCell ref="E243:F243"/>
    <mergeCell ref="N243:O243"/>
    <mergeCell ref="E246:F246"/>
    <mergeCell ref="N246:O246"/>
    <mergeCell ref="E249:F249"/>
    <mergeCell ref="N249:O249"/>
    <mergeCell ref="E252:F252"/>
    <mergeCell ref="N252:O252"/>
    <mergeCell ref="E255:F255"/>
    <mergeCell ref="N255:O255"/>
    <mergeCell ref="E258:F258"/>
    <mergeCell ref="N258:O258"/>
    <mergeCell ref="E261:F261"/>
    <mergeCell ref="N261:O261"/>
    <mergeCell ref="E264:F264"/>
    <mergeCell ref="N264:O264"/>
    <mergeCell ref="E267:F267"/>
    <mergeCell ref="N267:O267"/>
    <mergeCell ref="E270:F270"/>
    <mergeCell ref="N270:O270"/>
    <mergeCell ref="E273:F273"/>
    <mergeCell ref="E280:F280"/>
    <mergeCell ref="E284:F284"/>
    <mergeCell ref="K284:L284"/>
    <mergeCell ref="E286:F286"/>
    <mergeCell ref="H286:I286"/>
    <mergeCell ref="K286:L286"/>
    <mergeCell ref="N286:O286"/>
    <mergeCell ref="E289:F289"/>
    <mergeCell ref="H289:I289"/>
    <mergeCell ref="K289:L289"/>
    <mergeCell ref="N289:O289"/>
    <mergeCell ref="E292:F292"/>
    <mergeCell ref="H292:I292"/>
    <mergeCell ref="K292:L292"/>
    <mergeCell ref="N292:O292"/>
    <mergeCell ref="E295:F295"/>
    <mergeCell ref="H295:I295"/>
    <mergeCell ref="K295:L295"/>
    <mergeCell ref="N295:O295"/>
    <mergeCell ref="E298:F298"/>
    <mergeCell ref="H298:I298"/>
    <mergeCell ref="K298:L298"/>
    <mergeCell ref="N298:O298"/>
    <mergeCell ref="E301:F301"/>
    <mergeCell ref="H301:I301"/>
    <mergeCell ref="K301:L301"/>
    <mergeCell ref="N301:O301"/>
    <mergeCell ref="E304:F304"/>
    <mergeCell ref="H304:I304"/>
    <mergeCell ref="K304:L304"/>
    <mergeCell ref="N304:O304"/>
    <mergeCell ref="E307:F307"/>
    <mergeCell ref="H307:I307"/>
    <mergeCell ref="K307:L307"/>
    <mergeCell ref="N307:O307"/>
    <mergeCell ref="E310:F310"/>
    <mergeCell ref="H310:I310"/>
    <mergeCell ref="K310:L310"/>
    <mergeCell ref="N310:O310"/>
    <mergeCell ref="E313:F313"/>
    <mergeCell ref="H313:I313"/>
    <mergeCell ref="K313:L313"/>
    <mergeCell ref="N313:O313"/>
    <mergeCell ref="E316:F316"/>
    <mergeCell ref="H316:I316"/>
    <mergeCell ref="K316:L316"/>
    <mergeCell ref="N316:O316"/>
    <mergeCell ref="E319:F319"/>
    <mergeCell ref="H319:I319"/>
    <mergeCell ref="K319:L319"/>
    <mergeCell ref="N319:O319"/>
    <mergeCell ref="E322:F322"/>
    <mergeCell ref="H322:I322"/>
    <mergeCell ref="K322:L322"/>
    <mergeCell ref="N322:O322"/>
    <mergeCell ref="E325:F325"/>
    <mergeCell ref="H325:I325"/>
    <mergeCell ref="K325:L325"/>
    <mergeCell ref="N325:O325"/>
    <mergeCell ref="E328:F328"/>
    <mergeCell ref="H328:I328"/>
    <mergeCell ref="K328:L328"/>
    <mergeCell ref="N328:O328"/>
    <mergeCell ref="E331:F331"/>
    <mergeCell ref="H331:I331"/>
    <mergeCell ref="K331:L331"/>
    <mergeCell ref="N331:O331"/>
    <mergeCell ref="E334:F334"/>
    <mergeCell ref="H334:I334"/>
    <mergeCell ref="K334:L334"/>
    <mergeCell ref="N334:O334"/>
    <mergeCell ref="E337:F337"/>
    <mergeCell ref="H337:I337"/>
    <mergeCell ref="K337:L337"/>
    <mergeCell ref="N337:O337"/>
    <mergeCell ref="E340:F340"/>
    <mergeCell ref="H340:I340"/>
    <mergeCell ref="K340:L340"/>
    <mergeCell ref="N340:O340"/>
    <mergeCell ref="E343:F343"/>
    <mergeCell ref="H343:I343"/>
    <mergeCell ref="K343:L343"/>
    <mergeCell ref="N343:O343"/>
    <mergeCell ref="E346:F346"/>
    <mergeCell ref="B350:O353"/>
    <mergeCell ref="E356:F356"/>
    <mergeCell ref="H356:J356"/>
    <mergeCell ref="E358:F358"/>
    <mergeCell ref="L358:M358"/>
    <mergeCell ref="E361:F361"/>
    <mergeCell ref="L361:M361"/>
    <mergeCell ref="E364:F364"/>
    <mergeCell ref="L364:M364"/>
    <mergeCell ref="E367:F367"/>
    <mergeCell ref="L367:M367"/>
    <mergeCell ref="E370:F370"/>
    <mergeCell ref="L370:M370"/>
    <mergeCell ref="E373:F373"/>
    <mergeCell ref="L373:M373"/>
    <mergeCell ref="E376:F376"/>
    <mergeCell ref="L376:M376"/>
    <mergeCell ref="E379:F379"/>
    <mergeCell ref="L379:M379"/>
    <mergeCell ref="E382:F382"/>
    <mergeCell ref="L382:M382"/>
    <mergeCell ref="E385:F385"/>
    <mergeCell ref="L385:M385"/>
    <mergeCell ref="E388:F388"/>
    <mergeCell ref="L388:M388"/>
    <mergeCell ref="E391:F391"/>
    <mergeCell ref="L391:M391"/>
    <mergeCell ref="E394:F394"/>
    <mergeCell ref="L394:M394"/>
    <mergeCell ref="E397:F397"/>
    <mergeCell ref="L397:M397"/>
    <mergeCell ref="E400:F400"/>
    <mergeCell ref="L400:M400"/>
    <mergeCell ref="E403:F403"/>
    <mergeCell ref="L403:M403"/>
    <mergeCell ref="E406:F406"/>
    <mergeCell ref="L406:M406"/>
    <mergeCell ref="E409:F409"/>
    <mergeCell ref="L409:M409"/>
    <mergeCell ref="E412:F412"/>
    <mergeCell ref="L412:M412"/>
    <mergeCell ref="E415:F415"/>
    <mergeCell ref="L415:M415"/>
    <mergeCell ref="F418:G418"/>
    <mergeCell ref="B420:O422"/>
    <mergeCell ref="E426:F426"/>
    <mergeCell ref="H426:I426"/>
    <mergeCell ref="E428:F428"/>
    <mergeCell ref="E435:F435"/>
    <mergeCell ref="H435:I435"/>
    <mergeCell ref="E437:F437"/>
    <mergeCell ref="H437:I437"/>
    <mergeCell ref="E439:F439"/>
    <mergeCell ref="E441:F441"/>
    <mergeCell ref="E443:F443"/>
    <mergeCell ref="B446:O447"/>
    <mergeCell ref="K451:L451"/>
    <mergeCell ref="K460:L460"/>
    <mergeCell ref="K472:L472"/>
    <mergeCell ref="K475:L475"/>
    <mergeCell ref="K478:L478"/>
    <mergeCell ref="K481:L481"/>
    <mergeCell ref="K484:L484"/>
    <mergeCell ref="K487:L487"/>
    <mergeCell ref="K490:L490"/>
    <mergeCell ref="K493:L493"/>
    <mergeCell ref="K496:L496"/>
    <mergeCell ref="K499:L499"/>
    <mergeCell ref="K502:L502"/>
    <mergeCell ref="K505:L505"/>
    <mergeCell ref="K508:L508"/>
    <mergeCell ref="C518:E518"/>
    <mergeCell ref="G518:I518"/>
    <mergeCell ref="C519:D519"/>
    <mergeCell ref="H519:I519"/>
    <mergeCell ref="M519:N519"/>
    <mergeCell ref="H521:I521"/>
    <mergeCell ref="M521:N521"/>
    <mergeCell ref="C523:D523"/>
    <mergeCell ref="H523:I523"/>
    <mergeCell ref="M523:N523"/>
    <mergeCell ref="H525:I525"/>
    <mergeCell ref="M525:N525"/>
    <mergeCell ref="C527:D527"/>
    <mergeCell ref="H527:I527"/>
    <mergeCell ref="M527:N527"/>
    <mergeCell ref="H529:I529"/>
    <mergeCell ref="M529:N529"/>
    <mergeCell ref="M530:N530"/>
    <mergeCell ref="H531:I531"/>
    <mergeCell ref="M531:N531"/>
    <mergeCell ref="C533:D533"/>
    <mergeCell ref="H533:I533"/>
    <mergeCell ref="M533:N533"/>
    <mergeCell ref="H535:I535"/>
    <mergeCell ref="M535:N535"/>
    <mergeCell ref="C537:D537"/>
    <mergeCell ref="H537:I537"/>
    <mergeCell ref="M537:N537"/>
    <mergeCell ref="H539:I539"/>
    <mergeCell ref="M539:N539"/>
    <mergeCell ref="C541:D541"/>
    <mergeCell ref="H541:I541"/>
    <mergeCell ref="M541:N541"/>
    <mergeCell ref="H543:I543"/>
    <mergeCell ref="C545:D545"/>
    <mergeCell ref="H545:I545"/>
    <mergeCell ref="M545:N545"/>
    <mergeCell ref="H547:I547"/>
    <mergeCell ref="M547:N547"/>
    <mergeCell ref="C549:D549"/>
    <mergeCell ref="H549:I549"/>
    <mergeCell ref="M549:N549"/>
    <mergeCell ref="H551:I551"/>
    <mergeCell ref="M551:N551"/>
    <mergeCell ref="C553:D553"/>
    <mergeCell ref="H553:I553"/>
    <mergeCell ref="M553:N553"/>
    <mergeCell ref="H555:I555"/>
    <mergeCell ref="H557:I557"/>
    <mergeCell ref="H559:I559"/>
    <mergeCell ref="H561:I561"/>
    <mergeCell ref="M561:N561"/>
    <mergeCell ref="C563:D563"/>
    <mergeCell ref="H563:I563"/>
    <mergeCell ref="M563:N563"/>
    <mergeCell ref="H565:I565"/>
    <mergeCell ref="M565:N565"/>
    <mergeCell ref="C567:D567"/>
    <mergeCell ref="H567:I567"/>
    <mergeCell ref="M567:N567"/>
    <mergeCell ref="H569:I569"/>
    <mergeCell ref="M569:N569"/>
    <mergeCell ref="C571:D571"/>
    <mergeCell ref="H571:I571"/>
    <mergeCell ref="M571:N571"/>
    <mergeCell ref="H588:I588"/>
    <mergeCell ref="H573:I573"/>
    <mergeCell ref="C575:D575"/>
    <mergeCell ref="H575:I575"/>
    <mergeCell ref="M575:N575"/>
    <mergeCell ref="H577:I577"/>
    <mergeCell ref="H579:I579"/>
    <mergeCell ref="M579:N579"/>
    <mergeCell ref="H590:I590"/>
    <mergeCell ref="H592:I592"/>
    <mergeCell ref="M592:N592"/>
    <mergeCell ref="H594:I594"/>
    <mergeCell ref="H596:I596"/>
    <mergeCell ref="C582:D582"/>
    <mergeCell ref="H582:I582"/>
    <mergeCell ref="M582:N582"/>
    <mergeCell ref="H584:I584"/>
    <mergeCell ref="H586:I58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8"/>
  <sheetViews>
    <sheetView view="pageBreakPreview" zoomScaleNormal="80" zoomScaleSheetLayoutView="100" zoomScalePageLayoutView="0" workbookViewId="0" topLeftCell="E1">
      <selection activeCell="P28" sqref="P28"/>
    </sheetView>
  </sheetViews>
  <sheetFormatPr defaultColWidth="9.00390625" defaultRowHeight="12.75"/>
  <cols>
    <col min="1" max="1" width="6.00390625" style="0" customWidth="1"/>
    <col min="2" max="2" width="14.421875" style="0" customWidth="1"/>
    <col min="3" max="5" width="9.00390625" style="0" customWidth="1"/>
    <col min="6" max="6" width="12.140625" style="0" customWidth="1"/>
    <col min="7" max="7" width="11.7109375" style="0" customWidth="1"/>
    <col min="8" max="8" width="14.140625" style="0" customWidth="1"/>
    <col min="9" max="9" width="13.7109375" style="0" customWidth="1"/>
    <col min="10" max="11" width="16.00390625" style="0" customWidth="1"/>
    <col min="12" max="12" width="12.00390625" style="0" customWidth="1"/>
    <col min="13" max="13" width="11.28125" style="0" customWidth="1"/>
  </cols>
  <sheetData>
    <row r="2" spans="2:16" ht="27.75" customHeight="1">
      <c r="B2" s="343" t="s">
        <v>295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247"/>
    </row>
    <row r="3" spans="2:15" s="248" customFormat="1" ht="30" customHeight="1">
      <c r="B3" s="249" t="s">
        <v>296</v>
      </c>
      <c r="C3" s="340" t="s">
        <v>297</v>
      </c>
      <c r="D3" s="340"/>
      <c r="E3" s="340"/>
      <c r="F3" s="340" t="s">
        <v>298</v>
      </c>
      <c r="G3" s="340" t="s">
        <v>299</v>
      </c>
      <c r="H3" s="340" t="s">
        <v>300</v>
      </c>
      <c r="I3" s="340" t="s">
        <v>301</v>
      </c>
      <c r="J3" s="340" t="s">
        <v>302</v>
      </c>
      <c r="K3" s="339" t="s">
        <v>303</v>
      </c>
      <c r="L3" s="339" t="s">
        <v>304</v>
      </c>
      <c r="M3" s="339" t="s">
        <v>305</v>
      </c>
      <c r="N3" s="339" t="s">
        <v>306</v>
      </c>
      <c r="O3" s="339" t="s">
        <v>307</v>
      </c>
    </row>
    <row r="4" spans="2:15" ht="12.75">
      <c r="B4" s="251" t="s">
        <v>308</v>
      </c>
      <c r="C4" s="251" t="s">
        <v>309</v>
      </c>
      <c r="D4" s="251" t="s">
        <v>310</v>
      </c>
      <c r="E4" s="251" t="s">
        <v>311</v>
      </c>
      <c r="F4" s="340"/>
      <c r="G4" s="340"/>
      <c r="H4" s="340"/>
      <c r="I4" s="340"/>
      <c r="J4" s="340"/>
      <c r="K4" s="340"/>
      <c r="L4" s="340"/>
      <c r="M4" s="340"/>
      <c r="N4" s="340"/>
      <c r="O4" s="340"/>
    </row>
    <row r="5" spans="2:15" ht="12.75">
      <c r="B5" s="252" t="s">
        <v>312</v>
      </c>
      <c r="C5" s="253">
        <v>0.3</v>
      </c>
      <c r="D5" s="253">
        <v>2.2</v>
      </c>
      <c r="E5" s="253">
        <f aca="true" t="shared" si="0" ref="E5:E12">C5+D5</f>
        <v>2.5</v>
      </c>
      <c r="F5" s="251">
        <f aca="true" t="shared" si="1" ref="F5:F12">1.2*1.4</f>
        <v>1.68</v>
      </c>
      <c r="G5" s="254">
        <f aca="true" t="shared" si="2" ref="G5:G12">E5*F5</f>
        <v>4.2</v>
      </c>
      <c r="H5" s="255">
        <f aca="true" t="shared" si="3" ref="H5:H12">((0.6+1.2+0.6)*(0.6+1.4+0.6))*E5</f>
        <v>15.600000000000001</v>
      </c>
      <c r="I5" s="255">
        <f aca="true" t="shared" si="4" ref="I5:I12">H5-G5</f>
        <v>11.400000000000002</v>
      </c>
      <c r="J5" s="256">
        <f aca="true" t="shared" si="5" ref="J5:J12">H5-(I5*1.27)</f>
        <v>1.121999999999998</v>
      </c>
      <c r="K5" s="256">
        <f aca="true" t="shared" si="6" ref="K5:K12">J5*1.7</f>
        <v>1.9073999999999967</v>
      </c>
      <c r="L5" s="257">
        <v>1.48</v>
      </c>
      <c r="M5" s="258">
        <v>17.6</v>
      </c>
      <c r="N5" s="258">
        <f aca="true" t="shared" si="7" ref="N5:N12">L5+M5</f>
        <v>19.080000000000002</v>
      </c>
      <c r="O5" s="259">
        <f aca="true" t="shared" si="8" ref="O5:O12">K5*N5</f>
        <v>36.39319199999994</v>
      </c>
    </row>
    <row r="6" spans="2:15" ht="12.75">
      <c r="B6" s="252" t="s">
        <v>313</v>
      </c>
      <c r="C6" s="253">
        <v>0.3</v>
      </c>
      <c r="D6" s="253">
        <v>2.2</v>
      </c>
      <c r="E6" s="253">
        <f t="shared" si="0"/>
        <v>2.5</v>
      </c>
      <c r="F6" s="251">
        <f t="shared" si="1"/>
        <v>1.68</v>
      </c>
      <c r="G6" s="254">
        <f t="shared" si="2"/>
        <v>4.2</v>
      </c>
      <c r="H6" s="255">
        <f t="shared" si="3"/>
        <v>15.600000000000001</v>
      </c>
      <c r="I6" s="255">
        <f t="shared" si="4"/>
        <v>11.400000000000002</v>
      </c>
      <c r="J6" s="256">
        <f t="shared" si="5"/>
        <v>1.121999999999998</v>
      </c>
      <c r="K6" s="256">
        <f t="shared" si="6"/>
        <v>1.9073999999999967</v>
      </c>
      <c r="L6" s="257">
        <v>1.74</v>
      </c>
      <c r="M6" s="258">
        <v>17.6</v>
      </c>
      <c r="N6" s="258">
        <f t="shared" si="7"/>
        <v>19.34</v>
      </c>
      <c r="O6" s="259">
        <f t="shared" si="8"/>
        <v>36.88911599999994</v>
      </c>
    </row>
    <row r="7" spans="2:15" ht="12.75">
      <c r="B7" s="252" t="s">
        <v>314</v>
      </c>
      <c r="C7" s="253">
        <v>0.3</v>
      </c>
      <c r="D7" s="253">
        <v>2.2</v>
      </c>
      <c r="E7" s="253">
        <f t="shared" si="0"/>
        <v>2.5</v>
      </c>
      <c r="F7" s="251">
        <f t="shared" si="1"/>
        <v>1.68</v>
      </c>
      <c r="G7" s="254">
        <f t="shared" si="2"/>
        <v>4.2</v>
      </c>
      <c r="H7" s="255">
        <f t="shared" si="3"/>
        <v>15.600000000000001</v>
      </c>
      <c r="I7" s="255">
        <f t="shared" si="4"/>
        <v>11.400000000000002</v>
      </c>
      <c r="J7" s="256">
        <f t="shared" si="5"/>
        <v>1.121999999999998</v>
      </c>
      <c r="K7" s="256">
        <f t="shared" si="6"/>
        <v>1.9073999999999967</v>
      </c>
      <c r="L7" s="257">
        <v>1.9</v>
      </c>
      <c r="M7" s="258">
        <v>17.6</v>
      </c>
      <c r="N7" s="258">
        <f t="shared" si="7"/>
        <v>19.5</v>
      </c>
      <c r="O7" s="259">
        <f t="shared" si="8"/>
        <v>37.194299999999934</v>
      </c>
    </row>
    <row r="8" spans="2:15" ht="12.75">
      <c r="B8" s="252" t="s">
        <v>315</v>
      </c>
      <c r="C8" s="253">
        <v>0.3</v>
      </c>
      <c r="D8" s="253">
        <v>1.6</v>
      </c>
      <c r="E8" s="253">
        <f t="shared" si="0"/>
        <v>1.9000000000000001</v>
      </c>
      <c r="F8" s="251">
        <f t="shared" si="1"/>
        <v>1.68</v>
      </c>
      <c r="G8" s="254">
        <f t="shared" si="2"/>
        <v>3.192</v>
      </c>
      <c r="H8" s="255">
        <f t="shared" si="3"/>
        <v>11.856000000000002</v>
      </c>
      <c r="I8" s="255">
        <f t="shared" si="4"/>
        <v>8.664000000000001</v>
      </c>
      <c r="J8" s="256">
        <f t="shared" si="5"/>
        <v>0.8527199999999997</v>
      </c>
      <c r="K8" s="256">
        <f t="shared" si="6"/>
        <v>1.4496239999999994</v>
      </c>
      <c r="L8" s="257">
        <v>2.9</v>
      </c>
      <c r="M8" s="258">
        <v>17.6</v>
      </c>
      <c r="N8" s="258">
        <f t="shared" si="7"/>
        <v>20.5</v>
      </c>
      <c r="O8" s="259">
        <f t="shared" si="8"/>
        <v>29.717291999999986</v>
      </c>
    </row>
    <row r="9" spans="2:15" ht="12.75">
      <c r="B9" s="252" t="s">
        <v>316</v>
      </c>
      <c r="C9" s="253">
        <v>0.3</v>
      </c>
      <c r="D9" s="253">
        <v>2.2</v>
      </c>
      <c r="E9" s="253">
        <f t="shared" si="0"/>
        <v>2.5</v>
      </c>
      <c r="F9" s="251">
        <f t="shared" si="1"/>
        <v>1.68</v>
      </c>
      <c r="G9" s="254">
        <f t="shared" si="2"/>
        <v>4.2</v>
      </c>
      <c r="H9" s="255">
        <f t="shared" si="3"/>
        <v>15.600000000000001</v>
      </c>
      <c r="I9" s="255">
        <f t="shared" si="4"/>
        <v>11.400000000000002</v>
      </c>
      <c r="J9" s="256">
        <f t="shared" si="5"/>
        <v>1.121999999999998</v>
      </c>
      <c r="K9" s="256">
        <f t="shared" si="6"/>
        <v>1.9073999999999967</v>
      </c>
      <c r="L9" s="257">
        <v>3.28</v>
      </c>
      <c r="M9" s="258">
        <v>17.6</v>
      </c>
      <c r="N9" s="258">
        <f t="shared" si="7"/>
        <v>20.880000000000003</v>
      </c>
      <c r="O9" s="259">
        <f t="shared" si="8"/>
        <v>39.82651199999994</v>
      </c>
    </row>
    <row r="10" spans="2:15" ht="12.75">
      <c r="B10" s="252" t="s">
        <v>317</v>
      </c>
      <c r="C10" s="253">
        <v>0.3</v>
      </c>
      <c r="D10" s="253">
        <v>1.6</v>
      </c>
      <c r="E10" s="253">
        <f t="shared" si="0"/>
        <v>1.9000000000000001</v>
      </c>
      <c r="F10" s="251">
        <f t="shared" si="1"/>
        <v>1.68</v>
      </c>
      <c r="G10" s="254">
        <f t="shared" si="2"/>
        <v>3.192</v>
      </c>
      <c r="H10" s="255">
        <f t="shared" si="3"/>
        <v>11.856000000000002</v>
      </c>
      <c r="I10" s="255">
        <f t="shared" si="4"/>
        <v>8.664000000000001</v>
      </c>
      <c r="J10" s="256">
        <f t="shared" si="5"/>
        <v>0.8527199999999997</v>
      </c>
      <c r="K10" s="256">
        <f t="shared" si="6"/>
        <v>1.4496239999999994</v>
      </c>
      <c r="L10" s="257">
        <v>3.38</v>
      </c>
      <c r="M10" s="258">
        <v>17.6</v>
      </c>
      <c r="N10" s="258">
        <f t="shared" si="7"/>
        <v>20.98</v>
      </c>
      <c r="O10" s="259">
        <f t="shared" si="8"/>
        <v>30.413111519999987</v>
      </c>
    </row>
    <row r="11" spans="2:15" ht="12.75">
      <c r="B11" s="252" t="s">
        <v>318</v>
      </c>
      <c r="C11" s="253">
        <v>0.3</v>
      </c>
      <c r="D11" s="253">
        <v>2.2</v>
      </c>
      <c r="E11" s="253">
        <f t="shared" si="0"/>
        <v>2.5</v>
      </c>
      <c r="F11" s="251">
        <f t="shared" si="1"/>
        <v>1.68</v>
      </c>
      <c r="G11" s="254">
        <f t="shared" si="2"/>
        <v>4.2</v>
      </c>
      <c r="H11" s="255">
        <f t="shared" si="3"/>
        <v>15.600000000000001</v>
      </c>
      <c r="I11" s="255">
        <f t="shared" si="4"/>
        <v>11.400000000000002</v>
      </c>
      <c r="J11" s="256">
        <f t="shared" si="5"/>
        <v>1.121999999999998</v>
      </c>
      <c r="K11" s="256">
        <f t="shared" si="6"/>
        <v>1.9073999999999967</v>
      </c>
      <c r="L11" s="257">
        <v>4</v>
      </c>
      <c r="M11" s="258">
        <v>17.6</v>
      </c>
      <c r="N11" s="258">
        <f t="shared" si="7"/>
        <v>21.6</v>
      </c>
      <c r="O11" s="259">
        <f t="shared" si="8"/>
        <v>41.19983999999993</v>
      </c>
    </row>
    <row r="12" spans="2:15" ht="12.75">
      <c r="B12" s="252" t="s">
        <v>319</v>
      </c>
      <c r="C12" s="253">
        <v>0.3</v>
      </c>
      <c r="D12" s="253">
        <v>2.2</v>
      </c>
      <c r="E12" s="253">
        <f t="shared" si="0"/>
        <v>2.5</v>
      </c>
      <c r="F12" s="251">
        <f t="shared" si="1"/>
        <v>1.68</v>
      </c>
      <c r="G12" s="254">
        <f t="shared" si="2"/>
        <v>4.2</v>
      </c>
      <c r="H12" s="255">
        <f t="shared" si="3"/>
        <v>15.600000000000001</v>
      </c>
      <c r="I12" s="255">
        <f t="shared" si="4"/>
        <v>11.400000000000002</v>
      </c>
      <c r="J12" s="256">
        <f t="shared" si="5"/>
        <v>1.121999999999998</v>
      </c>
      <c r="K12" s="256">
        <f t="shared" si="6"/>
        <v>1.9073999999999967</v>
      </c>
      <c r="L12" s="257">
        <v>7.54</v>
      </c>
      <c r="M12" s="258">
        <v>17.6</v>
      </c>
      <c r="N12" s="258">
        <f t="shared" si="7"/>
        <v>25.14</v>
      </c>
      <c r="O12" s="259">
        <f t="shared" si="8"/>
        <v>47.952035999999914</v>
      </c>
    </row>
    <row r="13" spans="2:15" ht="12.75" customHeight="1"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</row>
    <row r="14" spans="2:16" ht="15" customHeight="1">
      <c r="B14" s="342" t="s">
        <v>7</v>
      </c>
      <c r="C14" s="342"/>
      <c r="D14" s="342"/>
      <c r="E14" s="342"/>
      <c r="F14" s="342"/>
      <c r="G14" s="342"/>
      <c r="H14" s="260">
        <f>SUM(H5:H13)</f>
        <v>117.31199999999998</v>
      </c>
      <c r="I14" s="260">
        <f>SUM(I5:I13)</f>
        <v>85.72800000000002</v>
      </c>
      <c r="J14" s="261">
        <f>SUM(J5:J13)</f>
        <v>8.437439999999988</v>
      </c>
      <c r="K14" s="261">
        <f>SUM(K5:K13)</f>
        <v>14.34364799999998</v>
      </c>
      <c r="L14" s="259"/>
      <c r="M14" s="259"/>
      <c r="N14" s="259"/>
      <c r="O14" s="262">
        <f>SUM(O5:O13)</f>
        <v>299.58539951999956</v>
      </c>
      <c r="P14" s="263">
        <f>O14/K14</f>
        <v>20.88627659574468</v>
      </c>
    </row>
    <row r="15" ht="12.75">
      <c r="P15" t="s">
        <v>320</v>
      </c>
    </row>
    <row r="19" spans="3:15" ht="27.75" customHeight="1">
      <c r="C19" s="343" t="s">
        <v>321</v>
      </c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3:15" s="248" customFormat="1" ht="44.25" customHeight="1">
      <c r="C20" s="250" t="s">
        <v>296</v>
      </c>
      <c r="D20" s="250" t="s">
        <v>322</v>
      </c>
      <c r="E20" s="250" t="s">
        <v>297</v>
      </c>
      <c r="F20" s="250" t="s">
        <v>298</v>
      </c>
      <c r="G20" s="250" t="s">
        <v>323</v>
      </c>
      <c r="H20" s="250" t="s">
        <v>324</v>
      </c>
      <c r="I20" s="250" t="s">
        <v>325</v>
      </c>
      <c r="J20" s="250" t="s">
        <v>302</v>
      </c>
      <c r="K20" s="264" t="s">
        <v>303</v>
      </c>
      <c r="L20" s="264" t="s">
        <v>304</v>
      </c>
      <c r="M20" s="264" t="s">
        <v>305</v>
      </c>
      <c r="N20" s="264" t="s">
        <v>306</v>
      </c>
      <c r="O20" s="264" t="s">
        <v>307</v>
      </c>
    </row>
    <row r="21" spans="3:15" ht="12.75">
      <c r="C21" s="265" t="s">
        <v>326</v>
      </c>
      <c r="D21" s="257" t="s">
        <v>327</v>
      </c>
      <c r="E21" s="257">
        <v>2.5</v>
      </c>
      <c r="F21" s="256">
        <f>1.65*1.4</f>
        <v>2.3099999999999996</v>
      </c>
      <c r="G21" s="266">
        <f>E21*F21</f>
        <v>5.774999999999999</v>
      </c>
      <c r="H21" s="256">
        <f>((0.4+1.65+0.4)*(0.4+1.4+0.4))*E21</f>
        <v>13.474999999999998</v>
      </c>
      <c r="I21" s="256">
        <f>H21-G21</f>
        <v>7.699999999999999</v>
      </c>
      <c r="J21" s="267">
        <f>H21-(I21*1.27)</f>
        <v>3.695999999999998</v>
      </c>
      <c r="K21" s="256">
        <f>J21*1.7</f>
        <v>6.283199999999996</v>
      </c>
      <c r="L21" s="258">
        <v>3.76</v>
      </c>
      <c r="M21" s="258">
        <v>17.6</v>
      </c>
      <c r="N21" s="258">
        <f>L21+M21</f>
        <v>21.36</v>
      </c>
      <c r="O21" s="259">
        <f>K21*N21</f>
        <v>134.20915199999993</v>
      </c>
    </row>
    <row r="22" spans="3:15" ht="12.75">
      <c r="C22" s="265" t="s">
        <v>328</v>
      </c>
      <c r="D22" s="268" t="s">
        <v>329</v>
      </c>
      <c r="E22" s="257">
        <v>3</v>
      </c>
      <c r="F22" s="256">
        <f>1.65*1.4</f>
        <v>2.3099999999999996</v>
      </c>
      <c r="G22" s="266">
        <f>E22*F22</f>
        <v>6.929999999999999</v>
      </c>
      <c r="H22" s="256">
        <f>((0.4+1.65+0.4)*(0.4+1.4+0.4))*E22</f>
        <v>16.169999999999995</v>
      </c>
      <c r="I22" s="256">
        <f>H22-G22</f>
        <v>9.239999999999995</v>
      </c>
      <c r="J22" s="256">
        <f>H22-(I22*1.27)</f>
        <v>4.435200000000002</v>
      </c>
      <c r="K22" s="256">
        <f>J22*1.7</f>
        <v>7.5398400000000025</v>
      </c>
      <c r="L22" s="257">
        <v>4.1</v>
      </c>
      <c r="M22" s="258">
        <v>17.6</v>
      </c>
      <c r="N22" s="258">
        <f>L22+M22</f>
        <v>21.700000000000003</v>
      </c>
      <c r="O22" s="259">
        <f>K22*N22</f>
        <v>163.61452800000006</v>
      </c>
    </row>
    <row r="23" spans="3:15" ht="12.75"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</row>
    <row r="24" spans="3:16" ht="15" customHeight="1">
      <c r="C24" s="259"/>
      <c r="D24" s="338" t="s">
        <v>7</v>
      </c>
      <c r="E24" s="338"/>
      <c r="F24" s="338"/>
      <c r="G24" s="338"/>
      <c r="H24" s="261">
        <f>SUM(H21:H22)</f>
        <v>29.644999999999992</v>
      </c>
      <c r="I24" s="261">
        <f>SUM(I21:I22)</f>
        <v>16.939999999999994</v>
      </c>
      <c r="J24" s="261">
        <f>SUM(J21:J22)</f>
        <v>8.1312</v>
      </c>
      <c r="K24" s="261">
        <f>SUM(K21:K22)</f>
        <v>13.823039999999999</v>
      </c>
      <c r="L24" s="259"/>
      <c r="M24" s="259"/>
      <c r="N24" s="259"/>
      <c r="O24" s="262">
        <f>SUM(O21:O22)</f>
        <v>297.82367999999997</v>
      </c>
      <c r="P24" s="263">
        <f>O24/K24</f>
        <v>21.545454545454543</v>
      </c>
    </row>
    <row r="25" spans="3:16" ht="12.75">
      <c r="C25" s="269"/>
      <c r="D25" s="157"/>
      <c r="E25" s="157"/>
      <c r="P25" t="s">
        <v>320</v>
      </c>
    </row>
    <row r="26" spans="8:9" ht="12.75">
      <c r="H26" s="256">
        <f>((0.4+1.65+0.4)*(0.4+1.4+0.4))*(E21-0.3)</f>
        <v>11.857999999999999</v>
      </c>
      <c r="I26" s="270">
        <f>H26-G21</f>
        <v>6.083</v>
      </c>
    </row>
    <row r="27" spans="8:16" ht="15">
      <c r="H27" s="270"/>
      <c r="K27" s="270">
        <f>K14+K24</f>
        <v>28.16668799999998</v>
      </c>
      <c r="O27">
        <f>O14+O24</f>
        <v>597.4090795199995</v>
      </c>
      <c r="P27" s="263">
        <f>O27/K27</f>
        <v>21.209773741236454</v>
      </c>
    </row>
    <row r="28" spans="8:16" ht="12.75">
      <c r="H28" s="270">
        <f>H14+H24</f>
        <v>146.95699999999997</v>
      </c>
      <c r="I28" s="270">
        <f>I14+I24</f>
        <v>102.66800000000002</v>
      </c>
      <c r="P28" t="s">
        <v>330</v>
      </c>
    </row>
  </sheetData>
  <sheetProtection selectLockedCells="1" selectUnlockedCells="1"/>
  <mergeCells count="17">
    <mergeCell ref="B2:O2"/>
    <mergeCell ref="C3:E3"/>
    <mergeCell ref="F3:F4"/>
    <mergeCell ref="G3:G4"/>
    <mergeCell ref="H3:H4"/>
    <mergeCell ref="I3:I4"/>
    <mergeCell ref="J3:J4"/>
    <mergeCell ref="K3:K4"/>
    <mergeCell ref="L3:L4"/>
    <mergeCell ref="M3:M4"/>
    <mergeCell ref="D24:G24"/>
    <mergeCell ref="N3:N4"/>
    <mergeCell ref="O3:O4"/>
    <mergeCell ref="B13:O13"/>
    <mergeCell ref="B14:G14"/>
    <mergeCell ref="C19:O19"/>
    <mergeCell ref="C23:O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Thais Barra</cp:lastModifiedBy>
  <dcterms:modified xsi:type="dcterms:W3CDTF">2019-11-05T17:11:58Z</dcterms:modified>
  <cp:category/>
  <cp:version/>
  <cp:contentType/>
  <cp:contentStatus/>
</cp:coreProperties>
</file>