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26" yWindow="825" windowWidth="9690" windowHeight="5940" tabRatio="741" activeTab="0"/>
  </bookViews>
  <sheets>
    <sheet name="ORÇAMENTO" sheetId="1" r:id="rId1"/>
    <sheet name="RESUMO" sheetId="2" r:id="rId2"/>
    <sheet name="CRONOGRAMA" sheetId="3" r:id="rId3"/>
  </sheets>
  <definedNames>
    <definedName name="_xlnm.Print_Area" localSheetId="2">'CRONOGRAMA'!$A$1:$O$20</definedName>
    <definedName name="_xlnm.Print_Area" localSheetId="0">'ORÇAMENTO'!$A$1:$H$123</definedName>
    <definedName name="_xlnm.Print_Area" localSheetId="1">'RESUMO'!$A$1:$C$19</definedName>
    <definedName name="_xlnm.Print_Titles" localSheetId="0">'ORÇAMENTO'!$B:$H,'ORÇAMENTO'!$1:$8</definedName>
    <definedName name="_xlnm.Print_Titles" localSheetId="1">'RESUMO'!$A:$C,'RESUMO'!$2:$8</definedName>
  </definedNames>
  <calcPr fullCalcOnLoad="1"/>
</workbook>
</file>

<file path=xl/sharedStrings.xml><?xml version="1.0" encoding="utf-8"?>
<sst xmlns="http://schemas.openxmlformats.org/spreadsheetml/2006/main" count="439" uniqueCount="272">
  <si>
    <t>ITEM</t>
  </si>
  <si>
    <t>QUANT.</t>
  </si>
  <si>
    <t>m²</t>
  </si>
  <si>
    <t>m³</t>
  </si>
  <si>
    <t>TOTAL GERAL DO ORÇAMENTO</t>
  </si>
  <si>
    <t>TOTAL</t>
  </si>
  <si>
    <t>CÓD.</t>
  </si>
  <si>
    <t>1.1</t>
  </si>
  <si>
    <t>m</t>
  </si>
  <si>
    <t>TOTAL PARCIAL 02</t>
  </si>
  <si>
    <t>TOTAL PARCIAL 03</t>
  </si>
  <si>
    <t>3.1</t>
  </si>
  <si>
    <t>3.2</t>
  </si>
  <si>
    <t>OBRA:</t>
  </si>
  <si>
    <t>LOCAL:</t>
  </si>
  <si>
    <t>PAVIMENTAÇÃO</t>
  </si>
  <si>
    <t>TERRAPLANAGEM</t>
  </si>
  <si>
    <t xml:space="preserve"> DRENAGEM E OBRAS DE ARTE CORRENTES</t>
  </si>
  <si>
    <t>UNID</t>
  </si>
  <si>
    <t>2.2</t>
  </si>
  <si>
    <t>2.3</t>
  </si>
  <si>
    <t>2.1</t>
  </si>
  <si>
    <t>1.2</t>
  </si>
  <si>
    <t>1.3</t>
  </si>
  <si>
    <t>1.4</t>
  </si>
  <si>
    <t>2.4</t>
  </si>
  <si>
    <t>2.5</t>
  </si>
  <si>
    <t>2.6</t>
  </si>
  <si>
    <t>2.7</t>
  </si>
  <si>
    <t>2.8</t>
  </si>
  <si>
    <t>2.9</t>
  </si>
  <si>
    <t>EXTENSÃO:</t>
  </si>
  <si>
    <t>DATA-BASE:</t>
  </si>
  <si>
    <t>BDI:</t>
  </si>
  <si>
    <t>TOTAL PARCIAL 01</t>
  </si>
  <si>
    <t>3.5</t>
  </si>
  <si>
    <t>DER-ES</t>
  </si>
  <si>
    <t>t</t>
  </si>
  <si>
    <t>ESTADO DO ESPÍRITO SANTO</t>
  </si>
  <si>
    <t>CUSTO (R$)</t>
  </si>
  <si>
    <t>UNITÁRIO</t>
  </si>
  <si>
    <t>DESCRIÇÃO DO SERVIÇO</t>
  </si>
  <si>
    <t>TABELA</t>
  </si>
  <si>
    <t>4.1</t>
  </si>
  <si>
    <t>OBRAS COMPLEMENTARES</t>
  </si>
  <si>
    <t>TOTAL PARCIAL 04</t>
  </si>
  <si>
    <t>Ud</t>
  </si>
  <si>
    <t>Calçada de concreto fck-&gt; 15 Mpa, camurçado c/ argam. cimento e areia 1:4, lastro de brita e 8 cm de concreto, incl. Preparo da caixa e transp. da brita</t>
  </si>
  <si>
    <t>1.5</t>
  </si>
  <si>
    <t>5.1</t>
  </si>
  <si>
    <t>5.3</t>
  </si>
  <si>
    <t>TOTAL PARCIAL 05</t>
  </si>
  <si>
    <t>5.4</t>
  </si>
  <si>
    <t>1.6</t>
  </si>
  <si>
    <t>Recomposição de vegetal de jazida, emprestimo e bota-fora em vias urbanas</t>
  </si>
  <si>
    <t>Limpeza, desmatamento e destocamento de jazida com remoção de 15 cm solo orgânico</t>
  </si>
  <si>
    <t>1.7</t>
  </si>
  <si>
    <t>Regularização e compactação do sub-leito (100% P.N.) H=0,20m em Vias Urbanas</t>
  </si>
  <si>
    <t>Base de brita graduada, inclusive fornecimento, exclusive transporte da brita em vias urbanas</t>
  </si>
  <si>
    <t>Imprimação exclusive fornecimento e transporte comercial do material betuminoso</t>
  </si>
  <si>
    <t>MATERIAL BETUMINOSO</t>
  </si>
  <si>
    <t>CM - 30, Fornecimento</t>
  </si>
  <si>
    <t>%</t>
  </si>
  <si>
    <t>Demolição de edificações</t>
  </si>
  <si>
    <t>4.3</t>
  </si>
  <si>
    <t>6.1</t>
  </si>
  <si>
    <t>6.2</t>
  </si>
  <si>
    <t>Placa da obra nas dimensões de 3,0 x 6,0m, padrão DER-ES</t>
  </si>
  <si>
    <t>Hidrossemeadura simples em terrenos planos</t>
  </si>
  <si>
    <t xml:space="preserve">Pó de pedra, fornecimento e espalhamento </t>
  </si>
  <si>
    <t>Cerca de arame liso 4 fios com mourões cada 2,0 m, esticadores de madeira, a cada 20,0 m, inclusive transporte de mourões e arame liso</t>
  </si>
  <si>
    <t>Tapume de chapa de compensado resinado esp. 6mm, 2,20 x 1,10m dispondo de abertura e portão com 2,20m de altura, incl. Pintura</t>
  </si>
  <si>
    <t>Rede de luz, incl. Padrão entr. Energia trifás. Cabo ligado até barracões, quadro distrib., disj. E chave de força cons. 20m entre padrão entr. E QDG.</t>
  </si>
  <si>
    <t>Rede de esgoto, contendo fossa e filtro, incl. Tubos e conexões de ligação entre caixas, considerando distância de 25m.</t>
  </si>
  <si>
    <t>Rede de água c/ padrão de entrada d'água diâm. 3/4" conf. CESAN, incl. Tubos e conexões p/ aliment., distrib., extravas. E limp., cons. O padrão a 25 m.</t>
  </si>
  <si>
    <t>Sistema separador de água e óleo</t>
  </si>
  <si>
    <t>und</t>
  </si>
  <si>
    <t>Reservatório de fibra de vidro de 1000 L, incl. Suporte em madeira de 7 x 12 cm, elevado de 4 m</t>
  </si>
  <si>
    <t>Sanitário e vestiário de 40/60 func., c/ 33,90m², paredes chapa compens. 12 mm e pont. 8 x 8 cm, piso ciment., cobert. Telha fibroc., incl. Luz e cx. Insp.</t>
  </si>
  <si>
    <t>Refeitório c/ paredes chapa de comp. 12 mm e pont. 8x8 cm, piso ciment. E cob. Telhas fibroc. 6 mm, incl. Ponto de luz e cx. De insp. (1,21m²/func/turno)</t>
  </si>
  <si>
    <t>Galpão em peça de mateira 8x8 cm e contravent. De 5x7 cm, cobertura de telhas de fibroc. De 6 mm, incl. Ponto e cabo de alimentação da máquina - (Forma e armadura)</t>
  </si>
  <si>
    <t>Galpão em peça de mateira 8x8 cm e contravent. De 5x7 cm, cobertura de telhas de fibroc. De 6 mm, incl. Ponto e cabo de alimentação da máquina - (Oficina mecânica)</t>
  </si>
  <si>
    <t>Canaleta de concreto retangular com grelha em barra de aço</t>
  </si>
  <si>
    <t>Barracão com sanitário, em chapa compensada 12 mm e pont. 8x8 cm, piso cimentado e cobertura em telha de fibroc. 6 mm, incl. Ponto de luz e cx. Inspeção - (Escritório/ fiscalização)</t>
  </si>
  <si>
    <t>Barracão com sanitário, em chapa compensada 12 mm e pont. 8x8 cm, piso cimentado e cobertura em telha de fibroc. 6 mm, incl. Ponto de luz e cx. Inspeção - (Laboratório)</t>
  </si>
  <si>
    <t>Barracão com sanitário, em chapa compensada 12 mm e pont. 8x8 cm, piso cimentado e cobertura em telha de fibroc. 6 mm, incl. Ponto de luz e cx. Inspeção - (Guarita)</t>
  </si>
  <si>
    <t>Barracão em chapa compesada 12mm e pont.  8x8 cm, piso cimentado e cobertura de telhas fibrocimento 6 mm, incl. Ponto de luz (depósito)</t>
  </si>
  <si>
    <t>Calçada de concreto fck-&gt;15 MP, camurçado c/ argam. cimento e areia 1:4, lastro de brita e 8 cm de concreto, incl. preparo da caixa e transp. da brita</t>
  </si>
  <si>
    <t>Bacia de contenção para tanques de materiais betuminosos</t>
  </si>
  <si>
    <t>Concreto estrutural fck = 20,0 Mpa</t>
  </si>
  <si>
    <t>Forma planas de madeira com 04 (quatro) reaproveitamento, inclusive transporte das madeiras</t>
  </si>
  <si>
    <t>Aço CA-50, fornecimento, dobramento e colocação nas formas (preço médio das bitolas)</t>
  </si>
  <si>
    <t>kg</t>
  </si>
  <si>
    <t>Mobilização e desmobilização de equipamento com carreta prancha (máximo)</t>
  </si>
  <si>
    <t>h</t>
  </si>
  <si>
    <t>Mobilização e desmobilização de caminhão carroceria (máximo)</t>
  </si>
  <si>
    <t>Mobilização e desmobilização de caminhão basculante (máximo)</t>
  </si>
  <si>
    <t>Mobilização e desmobilização de caminhão tanque (6.000 L) (máximo)</t>
  </si>
  <si>
    <t>TOTAL PARCIAL 06</t>
  </si>
  <si>
    <t xml:space="preserve">SECRETÁRIA MUNICIPAL DE OBRAS </t>
  </si>
  <si>
    <t>Berço em brita para BSTC diâm. -&gt; 0,80 m em Vias Urbanas</t>
  </si>
  <si>
    <t>RESUMO</t>
  </si>
  <si>
    <t>PORCENTAGEM</t>
  </si>
  <si>
    <t>SINALIZAÇÃO</t>
  </si>
  <si>
    <t>7.1</t>
  </si>
  <si>
    <t>7.3</t>
  </si>
  <si>
    <t>7.4</t>
  </si>
  <si>
    <t>TOTAL PARCIAL 07</t>
  </si>
  <si>
    <t>Sinalização horizontal TMD-&gt;600, vida útil 2 a 3 anos, taxa-&gt;0,80 L/m²</t>
  </si>
  <si>
    <t>Sinalização vertical com chapa em esmalte sintético</t>
  </si>
  <si>
    <t>Roçada manual com roçadeira costal e ferramentas manuais inclusive limpeza</t>
  </si>
  <si>
    <t xml:space="preserve">Escavação e carga de material de 1ª categoria com escavadeira </t>
  </si>
  <si>
    <t xml:space="preserve">Compactação de aterros 100% PN </t>
  </si>
  <si>
    <t>Bonificação de 15,0% sobre Materiais Betuninosos</t>
  </si>
  <si>
    <t>Berço em brita para BSTC diâm. -&gt; 0,40 m em Vias Urbanas</t>
  </si>
  <si>
    <t>PREFEITURA MUNICIPAL DE PRESIDENTE KENNEDY</t>
  </si>
  <si>
    <t xml:space="preserve">Boca de concreto ciclópico para BSTC diâmetro 0,80 m </t>
  </si>
  <si>
    <t>Sarjeta de concreto SCC 40/15</t>
  </si>
  <si>
    <t>3.3</t>
  </si>
  <si>
    <t>3.4</t>
  </si>
  <si>
    <t xml:space="preserve">Deslocamento de cerca de madeira com 4 fios de arame </t>
  </si>
  <si>
    <t>Alvenaria de bloco (39 x 19 x 09) cm espessura 09 cm, inclusive transporte da areia, cimento e bloco</t>
  </si>
  <si>
    <t>Porteira, confecção e colocação, inclusive fornecimento e transporte da madeira e chapa de aço</t>
  </si>
  <si>
    <t>ud</t>
  </si>
  <si>
    <t>4.2</t>
  </si>
  <si>
    <t>4.4</t>
  </si>
  <si>
    <t>4.5</t>
  </si>
  <si>
    <t>Transporte TR-303-00 (Mat. Asf. F. DNIT) (Y= 0,309XP + 0,417XR + 30,830) - CM-30 e CAP 50/70 (XP= 410,10 km e XR= 0,730 km)</t>
  </si>
  <si>
    <t>Transporte Local  com DMT até 3,0 km (Caminhão basculante) - Material de Pista (Y= 0,615XP + 0,680XR + 1,080)</t>
  </si>
  <si>
    <t>XR = 0,100 km</t>
  </si>
  <si>
    <t>REDE DE ESGOTAMENTO SANITARIO</t>
  </si>
  <si>
    <t>8.1</t>
  </si>
  <si>
    <t>8.2</t>
  </si>
  <si>
    <t>TOTAL PARCIAL 08</t>
  </si>
  <si>
    <t>Poço de visita (tubo D-&gt;0,40 m) H-&gt;1,50 m com Tampão F.F.A.P., inclusive escavação e transporte do tampão, em vias urbanas</t>
  </si>
  <si>
    <t>IOPES</t>
  </si>
  <si>
    <t>Tubo de PVC rígido soldável branco, para esgoto, diâmetro 100mm (4"), inclusive conexões</t>
  </si>
  <si>
    <t>7.5</t>
  </si>
  <si>
    <t>7.6</t>
  </si>
  <si>
    <t>Escavação mecânica em material de 1ª categoria H-&gt;0,00 a 1,50 m, em vias urbanas</t>
  </si>
  <si>
    <t>Escavação mecânica em material de 1ª categoria H-&gt;1,50 a 3,00 m, c/ esgotamento, em vias urbanas</t>
  </si>
  <si>
    <t>DISTRITO DE SANTO EDUARDO</t>
  </si>
  <si>
    <t xml:space="preserve">Corpo BSTC diâmetro 0,60m C.S. PB inclusive escavação, reaterro e transporte do tubo em Vias Urbanas </t>
  </si>
  <si>
    <t xml:space="preserve">Corpo BSTC diâmetro 0,40m C.S. PB inclusive escavação, reaterro e transporte do tubo em Vias Urbanas </t>
  </si>
  <si>
    <t>Corpo BSTC (greide) diâmetro 0,80 m CA-1 PB inclusive escavação, reaterro e transporte do tubo em Vias Urbanas</t>
  </si>
  <si>
    <t>Berço em brita para BSTC diâm. -&gt; 0,60 m em Vias Urbanas</t>
  </si>
  <si>
    <t>Caixa Boca de Lobo em bloco pré-moldado para diâmetro -&gt; 0,60 m (1,00 x 1,00 m) CBL2 (Vias Urbanas)</t>
  </si>
  <si>
    <t>Poço de Visita para BSTC diâm. 0,60 m em bloco de concreto, em vias urbanas</t>
  </si>
  <si>
    <t>Poço de Visita para BSTC diâm. 0,80 m em bloco de concreto, em vias urbanas</t>
  </si>
  <si>
    <t>Transporte Local  com DMT até 3,0 km (Caminhão basculante) - Material de Emprestimo (Y= 0,615XP + 0,680XR + 1,080)</t>
  </si>
  <si>
    <t>XP = 4,310 km  XR = 0,700 km</t>
  </si>
  <si>
    <t>XR = 1,500 km</t>
  </si>
  <si>
    <t>Transporte TR-201-00 (Comercial - Caminhão basculante) - Brita graduada (Y= 0,477XP + 0,496XR + 1,987) (XP=31,120 Km XR=0,750 km)</t>
  </si>
  <si>
    <t>2.10</t>
  </si>
  <si>
    <t>2.11</t>
  </si>
  <si>
    <t>2.12</t>
  </si>
  <si>
    <t>7.2</t>
  </si>
  <si>
    <t>Pavimentação com bloco de concreto (35 Mpa), esp.-&gt; 08cm, sobre colchão de areia esp-&gt;05cm, inclusive fornecim. E transporte bloco e areia, em vias urbanas</t>
  </si>
  <si>
    <t>Tubo PVC (NBR-7362), para esgoto sanitário, com diâmetro nominal de 150mm, inclusive anel de borracha, assentamento com junta elástica, para coletor de esgotos, com diâmetro nominal de 150mm, aterro e soca até a altura da geratriz superior do tubo, considerando o material da própria escavação</t>
  </si>
  <si>
    <t>EMOP</t>
  </si>
  <si>
    <r>
      <rPr>
        <sz val="8"/>
        <rFont val="Arial Narrow"/>
        <family val="2"/>
      </rPr>
      <t xml:space="preserve">06.272.0003-0 </t>
    </r>
    <r>
      <rPr>
        <sz val="9"/>
        <rFont val="Arial Narrow"/>
        <family val="2"/>
      </rPr>
      <t xml:space="preserve">  +   </t>
    </r>
    <r>
      <rPr>
        <sz val="8"/>
        <rFont val="Arial Narrow"/>
        <family val="2"/>
      </rPr>
      <t>06.001.0243-0</t>
    </r>
  </si>
  <si>
    <t>Tubo PVC (NBR-7362), para esgoto sanitário, com diâmetro nominal de 100mm, inclusive anel de borracha, assentamento com junta elástica, para coletor de esgotos, com diâmetro nominal de 100mm, aterro e soca até a altura da geratriz superior do tubo, considerando o material da própria escavação</t>
  </si>
  <si>
    <r>
      <rPr>
        <sz val="8"/>
        <rFont val="Arial Narrow"/>
        <family val="2"/>
      </rPr>
      <t xml:space="preserve">06.272.0002-0 </t>
    </r>
    <r>
      <rPr>
        <sz val="9"/>
        <rFont val="Arial Narrow"/>
        <family val="2"/>
      </rPr>
      <t xml:space="preserve">  +   </t>
    </r>
    <r>
      <rPr>
        <sz val="8"/>
        <rFont val="Arial Narrow"/>
        <family val="2"/>
      </rPr>
      <t>06.001.0242-0</t>
    </r>
  </si>
  <si>
    <t>Caixa de passagem para tubo de D-&gt;0,40m H-&gt;1,10 m em vias urbanas (cx. ligação domiciliar)</t>
  </si>
  <si>
    <t xml:space="preserve">Escavação manual em mat. 1ª cat. H-&gt; 0,00 a 1,50 m em Vias Urbanas </t>
  </si>
  <si>
    <t>Selim elástico de PVC para ligação predial de rede de esgoto (NBR 10569), de 150mmx100mm, inclusive anel de borracha e assentamento de peças e acessórios de PVC rígido, com junta elástica, com diâmetro nominal de 150mm</t>
  </si>
  <si>
    <r>
      <rPr>
        <sz val="8"/>
        <rFont val="Arial Narrow"/>
        <family val="2"/>
      </rPr>
      <t xml:space="preserve">06.272.0035-0 </t>
    </r>
    <r>
      <rPr>
        <sz val="9"/>
        <rFont val="Arial Narrow"/>
        <family val="2"/>
      </rPr>
      <t xml:space="preserve">  +   </t>
    </r>
    <r>
      <rPr>
        <sz val="8"/>
        <rFont val="Arial Narrow"/>
        <family val="2"/>
      </rPr>
      <t>06.001.0263-0</t>
    </r>
  </si>
  <si>
    <t>Curva de PVC para rede de esgoto (NBR 10569), de 90º, PB, com diâmetro nominal de 150mm, inclusive anel de borracha e assentamento de peças e acessórios de PVC rígido, com junta elástica, com diâmetro nominal de 150mm</t>
  </si>
  <si>
    <r>
      <rPr>
        <sz val="8"/>
        <rFont val="Arial Narrow"/>
        <family val="2"/>
      </rPr>
      <t>06.272.0027-0</t>
    </r>
    <r>
      <rPr>
        <sz val="9"/>
        <rFont val="Arial Narrow"/>
        <family val="2"/>
      </rPr>
      <t xml:space="preserve">  +   </t>
    </r>
    <r>
      <rPr>
        <sz val="8"/>
        <rFont val="Arial Narrow"/>
        <family val="2"/>
      </rPr>
      <t>06.001.0263-0</t>
    </r>
  </si>
  <si>
    <t>Curva de PVC para rede de esgoto (NBR 10569), de 90º, PB, com diâmetro nominal de 100mm, inclusive anel de borracha e assentamento de peças e acessórios de PVC rígido, com junta elástica, com diâmetro nominal de 100mm</t>
  </si>
  <si>
    <r>
      <rPr>
        <sz val="8"/>
        <rFont val="Arial Narrow"/>
        <family val="2"/>
      </rPr>
      <t>06.272.0026-0</t>
    </r>
    <r>
      <rPr>
        <sz val="9"/>
        <rFont val="Arial Narrow"/>
        <family val="2"/>
      </rPr>
      <t xml:space="preserve">  +   </t>
    </r>
    <r>
      <rPr>
        <sz val="8"/>
        <rFont val="Arial Narrow"/>
        <family val="2"/>
      </rPr>
      <t>06.001.0262-0</t>
    </r>
  </si>
  <si>
    <t>Curva de PVC para rede de esgoto (NBR 10569), de 45º, PB, com diâmetro nominal de 150mm, inclusive anel de borracha e assentamento de peças e acessórios de PVC rígido, com junta elástica, com diâmetro nominal de 150mm</t>
  </si>
  <si>
    <r>
      <rPr>
        <sz val="8"/>
        <rFont val="Arial Narrow"/>
        <family val="2"/>
      </rPr>
      <t>06.272.0022-0</t>
    </r>
    <r>
      <rPr>
        <sz val="9"/>
        <rFont val="Arial Narrow"/>
        <family val="2"/>
      </rPr>
      <t xml:space="preserve">  +   </t>
    </r>
    <r>
      <rPr>
        <sz val="8"/>
        <rFont val="Arial Narrow"/>
        <family val="2"/>
      </rPr>
      <t>06.001.0263-0</t>
    </r>
  </si>
  <si>
    <t>Curva de PVC para rede de esgoto (NBR 10569), de 45º, PB, com diâmetro nominal de 100mm, inclusive anel de borracha e assentamento de peças e acessórios de PVC rígido, com junta elástica, com diâmetro nominal de 100mm</t>
  </si>
  <si>
    <r>
      <rPr>
        <sz val="8"/>
        <rFont val="Arial Narrow"/>
        <family val="2"/>
      </rPr>
      <t>06.272.0021-0</t>
    </r>
    <r>
      <rPr>
        <sz val="9"/>
        <rFont val="Arial Narrow"/>
        <family val="2"/>
      </rPr>
      <t xml:space="preserve">  +   </t>
    </r>
    <r>
      <rPr>
        <sz val="8"/>
        <rFont val="Arial Narrow"/>
        <family val="2"/>
      </rPr>
      <t>06.001.0262-0</t>
    </r>
  </si>
  <si>
    <t>exist.</t>
  </si>
  <si>
    <t>novas</t>
  </si>
  <si>
    <t>7.7</t>
  </si>
  <si>
    <t>7.8</t>
  </si>
  <si>
    <t>7.9</t>
  </si>
  <si>
    <t>7.10</t>
  </si>
  <si>
    <t>7.11</t>
  </si>
  <si>
    <t>7.12</t>
  </si>
  <si>
    <t>7.13</t>
  </si>
  <si>
    <t>LABOR/UFES</t>
  </si>
  <si>
    <t>Apoio técnico a fiscalização a ser desempenhado por técnico de segundo grau (curso completo) em Edificações</t>
  </si>
  <si>
    <t>010105</t>
  </si>
  <si>
    <t>mês</t>
  </si>
  <si>
    <t>010512</t>
  </si>
  <si>
    <t>Equipe topográfica para serviços simples de locação e nivelamento (incluindo equipamento, transporte e profissionais nivel médio)</t>
  </si>
  <si>
    <t>TOTAL PARCIAL 09</t>
  </si>
  <si>
    <t>SERVIÇOS AUXILIARES TÉCNICOS</t>
  </si>
  <si>
    <t>INSTALAÇÃO DE CANTEIRO, MOBILIZAÇÃO, DESMOBILIZAÇÃO E SINALIZAÇÃO PARA SEGURANÇA NA EXECUÇÃO DA OBRA</t>
  </si>
  <si>
    <t>Cavalete de madeira de lei para sinalização, inclusive pintura em esmalte sintético fosco, fundo amarelo e
inscrição "TRECHO EM OBRA" na cor preta, comprimento de 1,50m e altura de 0,80m</t>
  </si>
  <si>
    <t>280505</t>
  </si>
  <si>
    <t>Cone sinalizador de PVC H = 50cm (com uma reutilização)</t>
  </si>
  <si>
    <t>Gambiarra para sinalização com lâmpadas 60W a cada metro, protegida por envoltório plástico translúcido,
na cor vermelha, incl. bastão de derivação de energia e consumo de energia para gambiarra de até 30m</t>
  </si>
  <si>
    <t>280507</t>
  </si>
  <si>
    <t>Cercas de isolamento cor laranja, h=1.20m, fixada em pontaletes de madeira e base em concreto a cada
3m (considerando 2 utilizações)</t>
  </si>
  <si>
    <t>280510</t>
  </si>
  <si>
    <t>DRENAGEM E OBRAS DE ARTE CORRENTES</t>
  </si>
  <si>
    <t>2.13</t>
  </si>
  <si>
    <t>Meio fio de concreto MFC 05, inclusive caiação</t>
  </si>
  <si>
    <t>Meio-fio de concreto moldado in-loco com formas de chapa compensada resinada 6 mm, nas dimensões
10x80 cm, reforçado para guias rebaixadas em locais de passagem de veículos pasados</t>
  </si>
  <si>
    <t>2.14</t>
  </si>
  <si>
    <t xml:space="preserve">Escoramento de cavas e valas, inclusive fornecimento e transporte das madeiras, em Vias Urbanas </t>
  </si>
  <si>
    <t>10 utiliz.</t>
  </si>
  <si>
    <t>5 utilz</t>
  </si>
  <si>
    <t>OBRAS DE INFRAESTRUTURA E SANEAMENTO BÁSICO                   (PAVIMENTAÇÃO, DRENAGEM E REDE DE ESGOTAMENTO SANITÁRIO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</si>
  <si>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</si>
  <si>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</si>
  <si>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</si>
  <si>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</si>
  <si>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</si>
  <si>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</si>
  <si>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</si>
  <si>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</si>
  <si>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</si>
  <si>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</si>
  <si>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</si>
  <si>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</si>
  <si>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</si>
  <si>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</si>
  <si>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9.15</t>
  </si>
  <si>
    <t>9.16</t>
  </si>
  <si>
    <t>9.17</t>
  </si>
  <si>
    <t>9.18</t>
  </si>
  <si>
    <t>9.19</t>
  </si>
  <si>
    <t>9.20</t>
  </si>
  <si>
    <t>9.21</t>
  </si>
  <si>
    <t>9.22</t>
  </si>
  <si>
    <t>9.23</t>
  </si>
  <si>
    <t>9.24</t>
  </si>
  <si>
    <t>9.25</t>
  </si>
  <si>
    <t>9.26</t>
  </si>
  <si>
    <t>9.27</t>
  </si>
  <si>
    <t>9.28</t>
  </si>
  <si>
    <t>9.29</t>
  </si>
  <si>
    <t>9.30</t>
  </si>
  <si>
    <t>CRONOGRAMA FÍSICO-FINANCEIRO</t>
  </si>
  <si>
    <t xml:space="preserve">VALOR : </t>
  </si>
  <si>
    <t>DISCRIMINAÇÃO</t>
  </si>
  <si>
    <t xml:space="preserve">                PARCELAS</t>
  </si>
  <si>
    <t>Total</t>
  </si>
  <si>
    <t>1o. MÊS</t>
  </si>
  <si>
    <t>2o. MÊS</t>
  </si>
  <si>
    <t>3o. MÊS</t>
  </si>
  <si>
    <t>4o. MÊS</t>
  </si>
  <si>
    <t>5o. MÊS</t>
  </si>
  <si>
    <t>6o. MÊS</t>
  </si>
  <si>
    <t>7o. MÊS</t>
  </si>
  <si>
    <t>8o. MÊS</t>
  </si>
  <si>
    <t>9o. MÊS</t>
  </si>
  <si>
    <t>10o. MÊS</t>
  </si>
  <si>
    <t>11o. MÊS</t>
  </si>
  <si>
    <t>12o. MÊS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</si>
  <si>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</si>
  <si>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</si>
  <si>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</si>
  <si>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</si>
  <si>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</si>
  <si>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</si>
  <si>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</si>
  <si>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</si>
  <si>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</si>
  <si>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VALOR DO MÊS (PROGRAMAÇÃO DE MEDIÇÕES)</t>
  </si>
  <si>
    <t xml:space="preserve">VALOR ACUMULADO </t>
  </si>
  <si>
    <t>PERCENTUAL DO MÊS</t>
  </si>
  <si>
    <t>PERCENTUAL ACUMULADO</t>
  </si>
  <si>
    <t>OBRA/SERVIÇO: OBRAS DE INFRAESTRUTURA E SANEAMENTO BÁSICO</t>
  </si>
  <si>
    <t>(PAVIMENTAÇÃO, DRENAGEM E REDE DE ESGOTAMENTO SANITÁRIO</t>
  </si>
  <si>
    <t>LOCAL: DISTRITO DE SANTO EDUARDO - PRESIDENTE KENNEDY - ES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</si>
</sst>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  <numFmt numFmtId="166" formatCode="&quot;R$&quot;\ #,##0.00"/>
    <numFmt numFmtId="167" formatCode="&quot;R$ &quot;#,##0.00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sz val="7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11"/>
      <name val="Arial"/>
      <family val="2"/>
    </font>
    <font>
      <b/>
      <i/>
      <sz val="16"/>
      <name val="Arial"/>
      <family val="2"/>
    </font>
    <font>
      <sz val="8"/>
      <name val="Arial Narrow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8"/>
      <name val="Times New Roman"/>
      <family val="1"/>
    </font>
    <font>
      <b/>
      <sz val="9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164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9" fillId="33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7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164" fontId="3" fillId="33" borderId="0" xfId="60" applyFont="1" applyFill="1" applyBorder="1" applyAlignment="1">
      <alignment vertical="center"/>
    </xf>
    <xf numFmtId="164" fontId="3" fillId="33" borderId="0" xfId="6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164" fontId="6" fillId="0" borderId="10" xfId="6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4" fontId="6" fillId="0" borderId="0" xfId="6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" fontId="0" fillId="0" borderId="0" xfId="60" applyNumberFormat="1" applyFill="1" applyBorder="1" applyAlignment="1">
      <alignment horizontal="center" vertical="center"/>
    </xf>
    <xf numFmtId="164" fontId="0" fillId="0" borderId="0" xfId="60" applyFont="1" applyFill="1" applyBorder="1" applyAlignment="1">
      <alignment vertical="center"/>
    </xf>
    <xf numFmtId="164" fontId="0" fillId="0" borderId="0" xfId="60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164" fontId="12" fillId="0" borderId="0" xfId="60" applyFont="1" applyFill="1" applyBorder="1" applyAlignment="1">
      <alignment vertical="center"/>
    </xf>
    <xf numFmtId="0" fontId="4" fillId="0" borderId="10" xfId="0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right" vertical="center"/>
    </xf>
    <xf numFmtId="165" fontId="2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left" vertical="center"/>
    </xf>
    <xf numFmtId="4" fontId="11" fillId="0" borderId="11" xfId="0" applyNumberFormat="1" applyFont="1" applyFill="1" applyBorder="1" applyAlignment="1">
      <alignment horizontal="left" vertical="center"/>
    </xf>
    <xf numFmtId="10" fontId="12" fillId="0" borderId="11" xfId="49" applyNumberFormat="1" applyFont="1" applyFill="1" applyBorder="1" applyAlignment="1">
      <alignment horizontal="right" vertical="center"/>
    </xf>
    <xf numFmtId="4" fontId="12" fillId="0" borderId="11" xfId="0" applyNumberFormat="1" applyFont="1" applyFill="1" applyBorder="1" applyAlignment="1">
      <alignment horizontal="left" vertical="center"/>
    </xf>
    <xf numFmtId="49" fontId="12" fillId="0" borderId="0" xfId="60" applyNumberFormat="1" applyFont="1" applyFill="1" applyBorder="1" applyAlignment="1">
      <alignment horizontal="right" vertical="center"/>
    </xf>
    <xf numFmtId="49" fontId="12" fillId="0" borderId="11" xfId="0" applyNumberFormat="1" applyFont="1" applyFill="1" applyBorder="1" applyAlignment="1">
      <alignment horizontal="right" vertical="center"/>
    </xf>
    <xf numFmtId="17" fontId="12" fillId="0" borderId="0" xfId="6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164" fontId="3" fillId="0" borderId="13" xfId="60" applyFont="1" applyFill="1" applyBorder="1" applyAlignment="1">
      <alignment horizontal="center" vertical="center"/>
    </xf>
    <xf numFmtId="164" fontId="3" fillId="0" borderId="13" xfId="60" applyFont="1" applyFill="1" applyBorder="1" applyAlignment="1">
      <alignment vertical="center"/>
    </xf>
    <xf numFmtId="164" fontId="3" fillId="0" borderId="14" xfId="6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164" fontId="0" fillId="0" borderId="16" xfId="60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Border="1" applyAlignment="1">
      <alignment vertical="center"/>
    </xf>
    <xf numFmtId="164" fontId="14" fillId="34" borderId="19" xfId="6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 wrapText="1"/>
    </xf>
    <xf numFmtId="164" fontId="6" fillId="0" borderId="19" xfId="6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164" fontId="14" fillId="0" borderId="19" xfId="60" applyFont="1" applyFill="1" applyBorder="1" applyAlignment="1" quotePrefix="1">
      <alignment vertical="center"/>
    </xf>
    <xf numFmtId="164" fontId="2" fillId="0" borderId="19" xfId="60" applyFont="1" applyFill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164" fontId="14" fillId="0" borderId="19" xfId="60" applyFont="1" applyFill="1" applyBorder="1" applyAlignment="1">
      <alignment vertical="center"/>
    </xf>
    <xf numFmtId="164" fontId="8" fillId="34" borderId="21" xfId="6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164" fontId="12" fillId="0" borderId="0" xfId="6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165" fontId="2" fillId="0" borderId="22" xfId="0" applyNumberFormat="1" applyFont="1" applyFill="1" applyBorder="1" applyAlignment="1">
      <alignment horizontal="left" vertical="center"/>
    </xf>
    <xf numFmtId="3" fontId="3" fillId="0" borderId="23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vertical="center"/>
    </xf>
    <xf numFmtId="0" fontId="5" fillId="33" borderId="23" xfId="0" applyFont="1" applyFill="1" applyBorder="1" applyAlignment="1">
      <alignment horizontal="right" vertical="center"/>
    </xf>
    <xf numFmtId="165" fontId="2" fillId="0" borderId="23" xfId="0" applyNumberFormat="1" applyFont="1" applyFill="1" applyBorder="1" applyAlignment="1">
      <alignment horizontal="left" vertical="center"/>
    </xf>
    <xf numFmtId="164" fontId="6" fillId="0" borderId="23" xfId="6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164" fontId="14" fillId="0" borderId="25" xfId="60" applyFont="1" applyFill="1" applyBorder="1" applyAlignment="1">
      <alignment vertical="center"/>
    </xf>
    <xf numFmtId="0" fontId="3" fillId="0" borderId="22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vertical="center"/>
    </xf>
    <xf numFmtId="164" fontId="6" fillId="19" borderId="0" xfId="60" applyFont="1" applyFill="1" applyBorder="1" applyAlignment="1">
      <alignment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6" fontId="4" fillId="0" borderId="10" xfId="0" applyNumberFormat="1" applyFont="1" applyFill="1" applyBorder="1" applyAlignment="1">
      <alignment horizontal="center" vertical="center" wrapText="1"/>
    </xf>
    <xf numFmtId="166" fontId="4" fillId="0" borderId="23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4" fontId="0" fillId="0" borderId="16" xfId="60" applyNumberForma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left" vertical="center"/>
    </xf>
    <xf numFmtId="49" fontId="12" fillId="0" borderId="16" xfId="60" applyNumberFormat="1" applyFont="1" applyFill="1" applyBorder="1" applyAlignment="1">
      <alignment horizontal="right" vertical="center"/>
    </xf>
    <xf numFmtId="4" fontId="11" fillId="0" borderId="17" xfId="0" applyNumberFormat="1" applyFont="1" applyFill="1" applyBorder="1" applyAlignment="1">
      <alignment horizontal="left" vertical="center"/>
    </xf>
    <xf numFmtId="49" fontId="12" fillId="0" borderId="18" xfId="0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left" vertical="center" wrapText="1" indent="1"/>
    </xf>
    <xf numFmtId="10" fontId="4" fillId="0" borderId="19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164" fontId="14" fillId="34" borderId="10" xfId="60" applyFont="1" applyFill="1" applyBorder="1" applyAlignment="1">
      <alignment horizontal="center" vertical="center"/>
    </xf>
    <xf numFmtId="43" fontId="3" fillId="0" borderId="0" xfId="0" applyNumberFormat="1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43" fontId="7" fillId="0" borderId="0" xfId="0" applyNumberFormat="1" applyFont="1" applyFill="1" applyBorder="1" applyAlignment="1">
      <alignment vertical="center"/>
    </xf>
    <xf numFmtId="0" fontId="5" fillId="0" borderId="23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6" xfId="0" applyFont="1" applyBorder="1" applyAlignment="1">
      <alignment/>
    </xf>
    <xf numFmtId="0" fontId="20" fillId="0" borderId="26" xfId="0" applyFont="1" applyBorder="1" applyAlignment="1">
      <alignment/>
    </xf>
    <xf numFmtId="0" fontId="13" fillId="0" borderId="27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28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 vertical="center"/>
    </xf>
    <xf numFmtId="0" fontId="23" fillId="0" borderId="29" xfId="0" applyFont="1" applyBorder="1" applyAlignment="1">
      <alignment/>
    </xf>
    <xf numFmtId="4" fontId="24" fillId="0" borderId="0" xfId="0" applyNumberFormat="1" applyFont="1" applyAlignment="1">
      <alignment/>
    </xf>
    <xf numFmtId="0" fontId="24" fillId="0" borderId="0" xfId="0" applyFont="1" applyAlignment="1">
      <alignment/>
    </xf>
    <xf numFmtId="4" fontId="13" fillId="0" borderId="0" xfId="0" applyNumberFormat="1" applyFont="1" applyBorder="1" applyAlignment="1">
      <alignment/>
    </xf>
    <xf numFmtId="49" fontId="13" fillId="0" borderId="0" xfId="0" applyNumberFormat="1" applyFont="1" applyBorder="1" applyAlignment="1">
      <alignment horizontal="center"/>
    </xf>
    <xf numFmtId="4" fontId="21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12" fillId="0" borderId="15" xfId="0" applyFont="1" applyBorder="1" applyAlignment="1">
      <alignment vertical="center"/>
    </xf>
    <xf numFmtId="0" fontId="26" fillId="0" borderId="30" xfId="0" applyFont="1" applyBorder="1" applyAlignment="1">
      <alignment/>
    </xf>
    <xf numFmtId="0" fontId="22" fillId="0" borderId="30" xfId="0" applyFont="1" applyBorder="1" applyAlignment="1">
      <alignment/>
    </xf>
    <xf numFmtId="0" fontId="22" fillId="0" borderId="29" xfId="0" applyFont="1" applyBorder="1" applyAlignment="1">
      <alignment/>
    </xf>
    <xf numFmtId="0" fontId="22" fillId="0" borderId="12" xfId="0" applyFont="1" applyBorder="1" applyAlignment="1">
      <alignment/>
    </xf>
    <xf numFmtId="49" fontId="22" fillId="0" borderId="0" xfId="0" applyNumberFormat="1" applyFont="1" applyBorder="1" applyAlignment="1">
      <alignment/>
    </xf>
    <xf numFmtId="17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4" fontId="0" fillId="0" borderId="0" xfId="0" applyNumberFormat="1" applyFont="1" applyFill="1" applyAlignment="1">
      <alignment vertical="center"/>
    </xf>
    <xf numFmtId="4" fontId="25" fillId="0" borderId="10" xfId="0" applyNumberFormat="1" applyFont="1" applyBorder="1" applyAlignment="1">
      <alignment horizontal="right" vertical="center"/>
    </xf>
    <xf numFmtId="4" fontId="13" fillId="0" borderId="10" xfId="0" applyNumberFormat="1" applyFont="1" applyBorder="1" applyAlignment="1">
      <alignment horizontal="right" vertical="center"/>
    </xf>
    <xf numFmtId="4" fontId="13" fillId="0" borderId="31" xfId="0" applyNumberFormat="1" applyFont="1" applyBorder="1" applyAlignment="1">
      <alignment horizontal="right" vertical="center"/>
    </xf>
    <xf numFmtId="4" fontId="23" fillId="0" borderId="32" xfId="0" applyNumberFormat="1" applyFont="1" applyBorder="1" applyAlignment="1">
      <alignment vertical="center"/>
    </xf>
    <xf numFmtId="4" fontId="13" fillId="0" borderId="32" xfId="0" applyNumberFormat="1" applyFont="1" applyBorder="1" applyAlignment="1">
      <alignment vertical="center"/>
    </xf>
    <xf numFmtId="4" fontId="13" fillId="0" borderId="33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0" fontId="13" fillId="0" borderId="34" xfId="0" applyFont="1" applyBorder="1" applyAlignment="1">
      <alignment horizontal="center"/>
    </xf>
    <xf numFmtId="4" fontId="23" fillId="0" borderId="33" xfId="0" applyNumberFormat="1" applyFont="1" applyBorder="1" applyAlignment="1">
      <alignment vertical="center"/>
    </xf>
    <xf numFmtId="0" fontId="22" fillId="0" borderId="35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4" fontId="13" fillId="0" borderId="37" xfId="0" applyNumberFormat="1" applyFont="1" applyBorder="1" applyAlignment="1">
      <alignment horizontal="right" vertical="center"/>
    </xf>
    <xf numFmtId="4" fontId="20" fillId="0" borderId="38" xfId="0" applyNumberFormat="1" applyFont="1" applyBorder="1" applyAlignment="1">
      <alignment vertical="center"/>
    </xf>
    <xf numFmtId="4" fontId="13" fillId="0" borderId="38" xfId="0" applyNumberFormat="1" applyFont="1" applyBorder="1" applyAlignment="1">
      <alignment vertical="center"/>
    </xf>
    <xf numFmtId="0" fontId="13" fillId="0" borderId="39" xfId="0" applyFont="1" applyBorder="1" applyAlignment="1">
      <alignment horizontal="center"/>
    </xf>
    <xf numFmtId="4" fontId="25" fillId="0" borderId="40" xfId="0" applyNumberFormat="1" applyFont="1" applyBorder="1" applyAlignment="1">
      <alignment horizontal="right" vertical="center"/>
    </xf>
    <xf numFmtId="0" fontId="22" fillId="0" borderId="12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/>
    </xf>
    <xf numFmtId="49" fontId="4" fillId="0" borderId="41" xfId="0" applyNumberFormat="1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/>
    </xf>
    <xf numFmtId="0" fontId="4" fillId="0" borderId="37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justify"/>
    </xf>
    <xf numFmtId="0" fontId="10" fillId="0" borderId="1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65" fontId="8" fillId="34" borderId="44" xfId="0" applyNumberFormat="1" applyFont="1" applyFill="1" applyBorder="1" applyAlignment="1">
      <alignment horizontal="center" vertical="center"/>
    </xf>
    <xf numFmtId="165" fontId="8" fillId="34" borderId="45" xfId="0" applyNumberFormat="1" applyFont="1" applyFill="1" applyBorder="1" applyAlignment="1">
      <alignment horizontal="center" vertical="center"/>
    </xf>
    <xf numFmtId="165" fontId="8" fillId="34" borderId="46" xfId="0" applyNumberFormat="1" applyFont="1" applyFill="1" applyBorder="1" applyAlignment="1">
      <alignment horizontal="center" vertical="center"/>
    </xf>
    <xf numFmtId="0" fontId="14" fillId="34" borderId="20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164" fontId="14" fillId="34" borderId="10" xfId="60" applyFont="1" applyFill="1" applyBorder="1" applyAlignment="1">
      <alignment horizontal="center" vertical="center" wrapText="1"/>
    </xf>
    <xf numFmtId="164" fontId="14" fillId="34" borderId="19" xfId="60" applyFont="1" applyFill="1" applyBorder="1" applyAlignment="1">
      <alignment horizontal="center" vertical="center" wrapText="1"/>
    </xf>
    <xf numFmtId="164" fontId="14" fillId="34" borderId="10" xfId="6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165" fontId="14" fillId="34" borderId="10" xfId="6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165" fontId="14" fillId="34" borderId="19" xfId="60" applyNumberFormat="1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 vertical="center" wrapText="1"/>
    </xf>
    <xf numFmtId="165" fontId="8" fillId="34" borderId="47" xfId="0" applyNumberFormat="1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4" fillId="34" borderId="22" xfId="0" applyFont="1" applyFill="1" applyBorder="1" applyAlignment="1">
      <alignment horizontal="center" vertical="center"/>
    </xf>
    <xf numFmtId="0" fontId="14" fillId="34" borderId="23" xfId="0" applyFont="1" applyFill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167" fontId="0" fillId="0" borderId="13" xfId="0" applyNumberFormat="1" applyFont="1" applyBorder="1" applyAlignment="1">
      <alignment horizontal="right"/>
    </xf>
    <xf numFmtId="0" fontId="12" fillId="0" borderId="15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horizontal="left" vertical="center"/>
    </xf>
    <xf numFmtId="0" fontId="12" fillId="0" borderId="16" xfId="0" applyNumberFormat="1" applyFont="1" applyBorder="1" applyAlignment="1">
      <alignment horizontal="left" vertical="center"/>
    </xf>
    <xf numFmtId="0" fontId="22" fillId="0" borderId="48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104775</xdr:rowOff>
    </xdr:from>
    <xdr:to>
      <xdr:col>2</xdr:col>
      <xdr:colOff>95250</xdr:colOff>
      <xdr:row>4</xdr:row>
      <xdr:rowOff>123825</xdr:rowOff>
    </xdr:to>
    <xdr:pic>
      <xdr:nvPicPr>
        <xdr:cNvPr id="1" name="Imagem 2" descr="C:\Users\comp-01\Desktop\logo-top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9715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161925</xdr:rowOff>
    </xdr:from>
    <xdr:to>
      <xdr:col>0</xdr:col>
      <xdr:colOff>1495425</xdr:colOff>
      <xdr:row>4</xdr:row>
      <xdr:rowOff>190500</xdr:rowOff>
    </xdr:to>
    <xdr:pic>
      <xdr:nvPicPr>
        <xdr:cNvPr id="1" name="Imagem 2" descr="C:\Users\comp-01\Desktop\logo-top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61925"/>
          <a:ext cx="11049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2"/>
  <sheetViews>
    <sheetView tabSelected="1" view="pageBreakPreview" zoomScale="110" zoomScaleNormal="116" zoomScaleSheetLayoutView="110" zoomScalePageLayoutView="0" workbookViewId="0" topLeftCell="A1">
      <selection activeCell="G70" sqref="G70"/>
    </sheetView>
  </sheetViews>
  <sheetFormatPr defaultColWidth="9.140625" defaultRowHeight="12.75"/>
  <cols>
    <col min="1" max="1" width="5.8515625" style="4" customWidth="1"/>
    <col min="2" max="2" width="8.7109375" style="7" customWidth="1"/>
    <col min="3" max="3" width="8.57421875" style="7" customWidth="1"/>
    <col min="4" max="4" width="70.140625" style="9" customWidth="1"/>
    <col min="5" max="5" width="10.7109375" style="8" customWidth="1"/>
    <col min="6" max="6" width="13.00390625" style="6" customWidth="1"/>
    <col min="7" max="7" width="14.28125" style="5" customWidth="1"/>
    <col min="8" max="8" width="15.28125" style="5" customWidth="1"/>
    <col min="9" max="9" width="14.57421875" style="4" customWidth="1"/>
    <col min="10" max="11" width="9.140625" style="4" customWidth="1"/>
    <col min="12" max="12" width="10.7109375" style="4" bestFit="1" customWidth="1"/>
    <col min="13" max="16384" width="9.140625" style="4" customWidth="1"/>
  </cols>
  <sheetData>
    <row r="1" spans="1:8" ht="15" customHeight="1">
      <c r="A1" s="38"/>
      <c r="B1" s="59"/>
      <c r="C1" s="156" t="s">
        <v>38</v>
      </c>
      <c r="D1" s="156"/>
      <c r="E1" s="39"/>
      <c r="F1" s="40"/>
      <c r="G1" s="41"/>
      <c r="H1" s="42"/>
    </row>
    <row r="2" spans="1:9" s="2" customFormat="1" ht="15" customHeight="1">
      <c r="A2" s="43"/>
      <c r="B2" s="60"/>
      <c r="C2" s="157" t="s">
        <v>115</v>
      </c>
      <c r="D2" s="157"/>
      <c r="E2" s="18"/>
      <c r="F2" s="19"/>
      <c r="G2" s="20"/>
      <c r="H2" s="44"/>
      <c r="I2" s="10"/>
    </row>
    <row r="3" spans="1:9" s="2" customFormat="1" ht="15" customHeight="1">
      <c r="A3" s="43"/>
      <c r="B3" s="62"/>
      <c r="C3" s="158" t="s">
        <v>99</v>
      </c>
      <c r="D3" s="158"/>
      <c r="E3" s="35"/>
      <c r="F3" s="37"/>
      <c r="G3" s="22"/>
      <c r="H3" s="45"/>
      <c r="I3" s="10"/>
    </row>
    <row r="4" spans="1:9" s="2" customFormat="1" ht="15" customHeight="1">
      <c r="A4" s="43"/>
      <c r="B4" s="62"/>
      <c r="C4" s="93"/>
      <c r="D4" s="93"/>
      <c r="E4" s="35" t="s">
        <v>32</v>
      </c>
      <c r="F4" s="37">
        <v>41579</v>
      </c>
      <c r="G4" s="22" t="s">
        <v>36</v>
      </c>
      <c r="H4" s="45"/>
      <c r="I4" s="10"/>
    </row>
    <row r="5" spans="1:9" s="2" customFormat="1" ht="27" customHeight="1">
      <c r="A5" s="43"/>
      <c r="B5" s="21"/>
      <c r="C5" s="21" t="s">
        <v>13</v>
      </c>
      <c r="D5" s="97" t="s">
        <v>208</v>
      </c>
      <c r="E5" s="35" t="s">
        <v>31</v>
      </c>
      <c r="F5" s="63">
        <v>3064</v>
      </c>
      <c r="G5" s="22" t="s">
        <v>8</v>
      </c>
      <c r="H5" s="45"/>
      <c r="I5" s="10"/>
    </row>
    <row r="6" spans="1:30" s="2" customFormat="1" ht="15" customHeight="1">
      <c r="A6" s="46"/>
      <c r="B6" s="31"/>
      <c r="C6" s="31" t="s">
        <v>14</v>
      </c>
      <c r="D6" s="32" t="s">
        <v>141</v>
      </c>
      <c r="E6" s="36" t="s">
        <v>33</v>
      </c>
      <c r="F6" s="33">
        <v>0.35</v>
      </c>
      <c r="G6" s="34"/>
      <c r="H6" s="47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s="1" customFormat="1" ht="13.5" customHeight="1">
      <c r="A7" s="162" t="s">
        <v>0</v>
      </c>
      <c r="B7" s="168" t="s">
        <v>42</v>
      </c>
      <c r="C7" s="168" t="s">
        <v>6</v>
      </c>
      <c r="D7" s="168" t="s">
        <v>41</v>
      </c>
      <c r="E7" s="169" t="s">
        <v>18</v>
      </c>
      <c r="F7" s="166" t="s">
        <v>1</v>
      </c>
      <c r="G7" s="164" t="s">
        <v>39</v>
      </c>
      <c r="H7" s="165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</row>
    <row r="8" spans="1:30" s="1" customFormat="1" ht="13.5" customHeight="1">
      <c r="A8" s="163"/>
      <c r="B8" s="168"/>
      <c r="C8" s="167"/>
      <c r="D8" s="167"/>
      <c r="E8" s="170"/>
      <c r="F8" s="167"/>
      <c r="G8" s="94" t="s">
        <v>40</v>
      </c>
      <c r="H8" s="48" t="s">
        <v>5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</row>
    <row r="9" spans="1:30" s="3" customFormat="1" ht="13.5" customHeight="1">
      <c r="A9" s="49">
        <v>1</v>
      </c>
      <c r="B9" s="23"/>
      <c r="C9" s="23"/>
      <c r="D9" s="25" t="s">
        <v>16</v>
      </c>
      <c r="E9" s="61"/>
      <c r="F9" s="25"/>
      <c r="G9" s="25"/>
      <c r="H9" s="50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12.75" customHeight="1">
      <c r="A10" s="51" t="s">
        <v>7</v>
      </c>
      <c r="B10" s="24" t="s">
        <v>36</v>
      </c>
      <c r="C10" s="61">
        <v>40168</v>
      </c>
      <c r="D10" s="11" t="s">
        <v>55</v>
      </c>
      <c r="E10" s="61" t="s">
        <v>2</v>
      </c>
      <c r="F10" s="65">
        <v>1200</v>
      </c>
      <c r="G10" s="12">
        <v>1.76</v>
      </c>
      <c r="H10" s="52">
        <f>+TRUNC((F10*G10),2)</f>
        <v>2112</v>
      </c>
      <c r="I10" s="14"/>
      <c r="J10" s="77"/>
      <c r="K10" s="77"/>
      <c r="L10" s="77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</row>
    <row r="11" spans="1:30" ht="12.75" customHeight="1">
      <c r="A11" s="51" t="s">
        <v>22</v>
      </c>
      <c r="B11" s="24" t="s">
        <v>36</v>
      </c>
      <c r="C11" s="61">
        <v>40230</v>
      </c>
      <c r="D11" s="11" t="s">
        <v>111</v>
      </c>
      <c r="E11" s="61" t="s">
        <v>3</v>
      </c>
      <c r="F11" s="65">
        <f>SUM(J11:R11)*1.3</f>
        <v>4159.753000000001</v>
      </c>
      <c r="G11" s="12">
        <v>2.74</v>
      </c>
      <c r="H11" s="52">
        <f>+TRUNC((F11*G11),2)</f>
        <v>11397.72</v>
      </c>
      <c r="I11" s="14"/>
      <c r="J11" s="77">
        <v>1479.38</v>
      </c>
      <c r="K11" s="77">
        <v>411.36</v>
      </c>
      <c r="L11" s="77">
        <v>128.97</v>
      </c>
      <c r="M11" s="13">
        <v>441.67</v>
      </c>
      <c r="N11" s="13">
        <v>124.86</v>
      </c>
      <c r="O11" s="13">
        <v>294.73</v>
      </c>
      <c r="P11" s="13">
        <v>232.6</v>
      </c>
      <c r="Q11" s="13">
        <v>53.32</v>
      </c>
      <c r="R11" s="13">
        <v>32.92</v>
      </c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</row>
    <row r="12" spans="1:30" ht="12.75" customHeight="1">
      <c r="A12" s="51" t="s">
        <v>23</v>
      </c>
      <c r="B12" s="24" t="s">
        <v>36</v>
      </c>
      <c r="C12" s="61">
        <v>40228</v>
      </c>
      <c r="D12" s="11" t="s">
        <v>112</v>
      </c>
      <c r="E12" s="61" t="s">
        <v>3</v>
      </c>
      <c r="F12" s="65">
        <f>SUM(J11:R11)</f>
        <v>3199.8100000000004</v>
      </c>
      <c r="G12" s="12">
        <v>3.96</v>
      </c>
      <c r="H12" s="52">
        <f>+TRUNC((F12*G12),2)</f>
        <v>12671.24</v>
      </c>
      <c r="I12" s="14"/>
      <c r="J12" s="77"/>
      <c r="K12" s="77"/>
      <c r="L12" s="77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</row>
    <row r="13" spans="1:30" ht="12.75" customHeight="1">
      <c r="A13" s="51" t="s">
        <v>24</v>
      </c>
      <c r="B13" s="24" t="s">
        <v>36</v>
      </c>
      <c r="C13" s="61">
        <v>42592</v>
      </c>
      <c r="D13" s="11" t="s">
        <v>54</v>
      </c>
      <c r="E13" s="61" t="s">
        <v>2</v>
      </c>
      <c r="F13" s="65">
        <f>F10</f>
        <v>1200</v>
      </c>
      <c r="G13" s="12">
        <v>13.81</v>
      </c>
      <c r="H13" s="52">
        <f>+TRUNC((F13*G13),2)</f>
        <v>16572</v>
      </c>
      <c r="I13" s="14"/>
      <c r="J13" s="77"/>
      <c r="K13" s="77"/>
      <c r="L13" s="77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</row>
    <row r="14" spans="1:30" ht="24.75" customHeight="1">
      <c r="A14" s="51" t="s">
        <v>48</v>
      </c>
      <c r="B14" s="24" t="s">
        <v>36</v>
      </c>
      <c r="C14" s="61">
        <v>60019</v>
      </c>
      <c r="D14" s="74" t="s">
        <v>128</v>
      </c>
      <c r="E14" s="61"/>
      <c r="F14" s="65"/>
      <c r="G14" s="12"/>
      <c r="H14" s="52"/>
      <c r="I14" s="14"/>
      <c r="J14" s="14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</row>
    <row r="15" spans="1:30" ht="12.75" customHeight="1">
      <c r="A15" s="51"/>
      <c r="B15" s="24"/>
      <c r="C15" s="61"/>
      <c r="D15" s="11" t="s">
        <v>129</v>
      </c>
      <c r="E15" s="61" t="s">
        <v>37</v>
      </c>
      <c r="F15" s="65">
        <f>J15*1.3*1.4</f>
        <v>3527.7788</v>
      </c>
      <c r="G15" s="12">
        <v>1.15</v>
      </c>
      <c r="H15" s="52">
        <f>+TRUNC((F15*G15),2)</f>
        <v>4056.94</v>
      </c>
      <c r="I15" s="14"/>
      <c r="J15" s="77">
        <v>1938.34</v>
      </c>
      <c r="K15" s="77"/>
      <c r="L15" s="77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 spans="1:30" ht="24.75" customHeight="1">
      <c r="A16" s="51" t="s">
        <v>53</v>
      </c>
      <c r="B16" s="24" t="s">
        <v>36</v>
      </c>
      <c r="C16" s="61">
        <v>60019</v>
      </c>
      <c r="D16" s="74" t="s">
        <v>128</v>
      </c>
      <c r="E16" s="61"/>
      <c r="F16" s="65"/>
      <c r="G16" s="12"/>
      <c r="H16" s="52"/>
      <c r="I16" s="14"/>
      <c r="J16" s="14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</row>
    <row r="17" spans="1:30" ht="12.75" customHeight="1">
      <c r="A17" s="51"/>
      <c r="B17" s="24"/>
      <c r="C17" s="61"/>
      <c r="D17" s="11" t="s">
        <v>151</v>
      </c>
      <c r="E17" s="61" t="s">
        <v>37</v>
      </c>
      <c r="F17" s="65">
        <f>J17*1.3*1.4</f>
        <v>237.74659999999997</v>
      </c>
      <c r="G17" s="12">
        <v>2.1</v>
      </c>
      <c r="H17" s="52">
        <f>+TRUNC((F17*G17),2)</f>
        <v>499.26</v>
      </c>
      <c r="I17" s="14"/>
      <c r="J17" s="77">
        <v>130.63</v>
      </c>
      <c r="K17" s="77"/>
      <c r="L17" s="77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</row>
    <row r="18" spans="1:30" ht="24.75" customHeight="1">
      <c r="A18" s="51" t="s">
        <v>56</v>
      </c>
      <c r="B18" s="24" t="s">
        <v>36</v>
      </c>
      <c r="C18" s="61">
        <v>60019</v>
      </c>
      <c r="D18" s="74" t="s">
        <v>149</v>
      </c>
      <c r="E18" s="61"/>
      <c r="F18" s="65"/>
      <c r="G18" s="12"/>
      <c r="H18" s="52"/>
      <c r="I18" s="14"/>
      <c r="J18" s="14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</row>
    <row r="19" spans="1:30" ht="12.75" customHeight="1">
      <c r="A19" s="51"/>
      <c r="B19" s="24"/>
      <c r="C19" s="61"/>
      <c r="D19" s="11" t="s">
        <v>150</v>
      </c>
      <c r="E19" s="61" t="s">
        <v>37</v>
      </c>
      <c r="F19" s="65">
        <f>J19*1.3*1.4</f>
        <v>2533.531</v>
      </c>
      <c r="G19" s="12">
        <v>4.2</v>
      </c>
      <c r="H19" s="52">
        <f>+TRUNC((F19*G19),2)</f>
        <v>10640.83</v>
      </c>
      <c r="I19" s="14"/>
      <c r="J19" s="77">
        <v>1392.05</v>
      </c>
      <c r="K19" s="77"/>
      <c r="L19" s="77">
        <f>J19+J17+J15</f>
        <v>3461.0199999999995</v>
      </c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</row>
    <row r="20" spans="1:30" ht="12.75" customHeight="1">
      <c r="A20" s="53"/>
      <c r="B20" s="26"/>
      <c r="C20" s="27"/>
      <c r="D20" s="28" t="s">
        <v>34</v>
      </c>
      <c r="E20" s="61"/>
      <c r="F20" s="64"/>
      <c r="G20" s="30"/>
      <c r="H20" s="54">
        <f>SUM(H10:H19)</f>
        <v>57949.990000000005</v>
      </c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</row>
    <row r="21" spans="1:30" ht="13.5">
      <c r="A21" s="53"/>
      <c r="B21" s="28"/>
      <c r="C21" s="27"/>
      <c r="D21" s="29"/>
      <c r="E21" s="61"/>
      <c r="F21" s="12"/>
      <c r="G21" s="29"/>
      <c r="H21" s="55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</row>
    <row r="22" spans="1:30" s="3" customFormat="1" ht="13.5" customHeight="1">
      <c r="A22" s="49">
        <v>2</v>
      </c>
      <c r="B22" s="23"/>
      <c r="C22" s="23"/>
      <c r="D22" s="25" t="s">
        <v>200</v>
      </c>
      <c r="E22" s="61"/>
      <c r="F22" s="25"/>
      <c r="G22" s="25"/>
      <c r="H22" s="50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ht="12.75" customHeight="1">
      <c r="A23" s="51" t="s">
        <v>21</v>
      </c>
      <c r="B23" s="24" t="s">
        <v>36</v>
      </c>
      <c r="C23" s="61">
        <v>42753</v>
      </c>
      <c r="D23" s="11" t="s">
        <v>143</v>
      </c>
      <c r="E23" s="61" t="s">
        <v>8</v>
      </c>
      <c r="F23" s="65">
        <v>264</v>
      </c>
      <c r="G23" s="12">
        <v>162.79</v>
      </c>
      <c r="H23" s="52">
        <f>+TRUNC((F23*G23),2)</f>
        <v>42976.56</v>
      </c>
      <c r="I23" s="14"/>
      <c r="J23" s="77"/>
      <c r="K23" s="77"/>
      <c r="L23" s="77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</row>
    <row r="24" spans="1:30" ht="12.75" customHeight="1">
      <c r="A24" s="51" t="s">
        <v>19</v>
      </c>
      <c r="B24" s="24" t="s">
        <v>36</v>
      </c>
      <c r="C24" s="61">
        <v>42755</v>
      </c>
      <c r="D24" s="11" t="s">
        <v>142</v>
      </c>
      <c r="E24" s="61" t="s">
        <v>8</v>
      </c>
      <c r="F24" s="65">
        <v>1776</v>
      </c>
      <c r="G24" s="12">
        <v>247.92</v>
      </c>
      <c r="H24" s="52">
        <f>+TRUNC((F24*G24),2)</f>
        <v>440305.92</v>
      </c>
      <c r="I24" s="14"/>
      <c r="J24" s="77"/>
      <c r="K24" s="77"/>
      <c r="L24" s="77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</row>
    <row r="25" spans="1:30" ht="24.75" customHeight="1">
      <c r="A25" s="51" t="s">
        <v>20</v>
      </c>
      <c r="B25" s="24" t="s">
        <v>36</v>
      </c>
      <c r="C25" s="61">
        <v>42765</v>
      </c>
      <c r="D25" s="74" t="s">
        <v>144</v>
      </c>
      <c r="E25" s="61" t="s">
        <v>8</v>
      </c>
      <c r="F25" s="65">
        <v>700</v>
      </c>
      <c r="G25" s="12">
        <v>505.25</v>
      </c>
      <c r="H25" s="52">
        <f>+TRUNC((F25*G25),2)</f>
        <v>353675</v>
      </c>
      <c r="I25" s="14"/>
      <c r="J25" s="14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 spans="1:30" ht="12.75" customHeight="1">
      <c r="A26" s="51" t="s">
        <v>25</v>
      </c>
      <c r="B26" s="24" t="s">
        <v>36</v>
      </c>
      <c r="C26" s="61">
        <v>41174</v>
      </c>
      <c r="D26" s="11" t="s">
        <v>114</v>
      </c>
      <c r="E26" s="61" t="s">
        <v>8</v>
      </c>
      <c r="F26" s="65">
        <f>F23</f>
        <v>264</v>
      </c>
      <c r="G26" s="12">
        <v>17.03</v>
      </c>
      <c r="H26" s="52">
        <f>+TRUNC((F26*G26),2)</f>
        <v>4495.92</v>
      </c>
      <c r="I26" s="14"/>
      <c r="J26" s="77"/>
      <c r="K26" s="77"/>
      <c r="L26" s="77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</row>
    <row r="27" spans="1:30" ht="12.75" customHeight="1">
      <c r="A27" s="51" t="s">
        <v>26</v>
      </c>
      <c r="B27" s="24" t="s">
        <v>36</v>
      </c>
      <c r="C27" s="61">
        <v>41175</v>
      </c>
      <c r="D27" s="11" t="s">
        <v>145</v>
      </c>
      <c r="E27" s="61" t="s">
        <v>8</v>
      </c>
      <c r="F27" s="65">
        <f>F24</f>
        <v>1776</v>
      </c>
      <c r="G27" s="12">
        <v>21.14</v>
      </c>
      <c r="H27" s="52">
        <f>+TRUNC((F27*G27),2)</f>
        <v>37544.64</v>
      </c>
      <c r="I27" s="14"/>
      <c r="J27" s="77"/>
      <c r="K27" s="77"/>
      <c r="L27" s="77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</row>
    <row r="28" spans="1:30" ht="12.75" customHeight="1">
      <c r="A28" s="51" t="s">
        <v>27</v>
      </c>
      <c r="B28" s="24" t="s">
        <v>36</v>
      </c>
      <c r="C28" s="61">
        <v>41176</v>
      </c>
      <c r="D28" s="11" t="s">
        <v>100</v>
      </c>
      <c r="E28" s="61" t="s">
        <v>8</v>
      </c>
      <c r="F28" s="65">
        <f>F25</f>
        <v>700</v>
      </c>
      <c r="G28" s="12">
        <v>31.4</v>
      </c>
      <c r="H28" s="52">
        <f>+TRUNC((F28*G28),2)</f>
        <v>21980</v>
      </c>
      <c r="I28" s="14"/>
      <c r="J28" s="77"/>
      <c r="K28" s="77"/>
      <c r="L28" s="77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</row>
    <row r="29" spans="1:30" ht="12.75" customHeight="1">
      <c r="A29" s="51" t="s">
        <v>28</v>
      </c>
      <c r="B29" s="24" t="s">
        <v>36</v>
      </c>
      <c r="C29" s="61">
        <v>40531</v>
      </c>
      <c r="D29" s="11" t="s">
        <v>116</v>
      </c>
      <c r="E29" s="61" t="s">
        <v>46</v>
      </c>
      <c r="F29" s="65">
        <v>1</v>
      </c>
      <c r="G29" s="12">
        <v>1731.78</v>
      </c>
      <c r="H29" s="52">
        <f>+TRUNC((F29*G29),2)</f>
        <v>1731.78</v>
      </c>
      <c r="I29" s="14"/>
      <c r="J29" s="77"/>
      <c r="K29" s="77"/>
      <c r="L29" s="77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</row>
    <row r="30" spans="1:30" ht="12.75" customHeight="1">
      <c r="A30" s="51" t="s">
        <v>29</v>
      </c>
      <c r="B30" s="24" t="s">
        <v>36</v>
      </c>
      <c r="C30" s="61">
        <v>40662</v>
      </c>
      <c r="D30" s="11" t="s">
        <v>202</v>
      </c>
      <c r="E30" s="61" t="s">
        <v>8</v>
      </c>
      <c r="F30" s="65">
        <v>3663</v>
      </c>
      <c r="G30" s="12">
        <v>57.75</v>
      </c>
      <c r="H30" s="52">
        <f>+TRUNC((F30*G30),2)</f>
        <v>211538.25</v>
      </c>
      <c r="I30" s="14"/>
      <c r="J30" s="77"/>
      <c r="K30" s="77"/>
      <c r="L30" s="77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</row>
    <row r="31" spans="1:30" ht="24.75" customHeight="1">
      <c r="A31" s="51" t="s">
        <v>30</v>
      </c>
      <c r="B31" s="99" t="s">
        <v>184</v>
      </c>
      <c r="C31" s="61">
        <v>200216</v>
      </c>
      <c r="D31" s="11" t="s">
        <v>203</v>
      </c>
      <c r="E31" s="61" t="s">
        <v>8</v>
      </c>
      <c r="F31" s="65">
        <f>F30*0.1</f>
        <v>366.3</v>
      </c>
      <c r="G31" s="12">
        <v>101.3</v>
      </c>
      <c r="H31" s="52">
        <f>+TRUNC((F31*G31),2)</f>
        <v>37106.19</v>
      </c>
      <c r="I31" s="14"/>
      <c r="J31" s="14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</row>
    <row r="32" spans="1:30" ht="12.75" customHeight="1">
      <c r="A32" s="51" t="s">
        <v>153</v>
      </c>
      <c r="B32" s="24" t="s">
        <v>36</v>
      </c>
      <c r="C32" s="61">
        <v>41336</v>
      </c>
      <c r="D32" s="11" t="s">
        <v>117</v>
      </c>
      <c r="E32" s="61" t="s">
        <v>8</v>
      </c>
      <c r="F32" s="65">
        <v>2465</v>
      </c>
      <c r="G32" s="12">
        <v>89.93</v>
      </c>
      <c r="H32" s="52">
        <f>+TRUNC((F32*G32),2)</f>
        <v>221677.45</v>
      </c>
      <c r="I32" s="14"/>
      <c r="J32" s="77"/>
      <c r="K32" s="77"/>
      <c r="L32" s="77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</row>
    <row r="33" spans="1:30" ht="12.75" customHeight="1">
      <c r="A33" s="51" t="s">
        <v>154</v>
      </c>
      <c r="B33" s="24" t="s">
        <v>36</v>
      </c>
      <c r="C33" s="61">
        <v>41144</v>
      </c>
      <c r="D33" s="11" t="s">
        <v>146</v>
      </c>
      <c r="E33" s="61" t="s">
        <v>46</v>
      </c>
      <c r="F33" s="65">
        <v>30</v>
      </c>
      <c r="G33" s="12">
        <v>2069.83</v>
      </c>
      <c r="H33" s="52">
        <f>+TRUNC((F33*G33),2)</f>
        <v>62094.9</v>
      </c>
      <c r="I33" s="14"/>
      <c r="J33" s="77"/>
      <c r="K33" s="77"/>
      <c r="L33" s="77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</row>
    <row r="34" spans="1:30" ht="12.75" customHeight="1">
      <c r="A34" s="51" t="s">
        <v>155</v>
      </c>
      <c r="B34" s="24" t="s">
        <v>36</v>
      </c>
      <c r="C34" s="61">
        <v>43047</v>
      </c>
      <c r="D34" s="11" t="s">
        <v>147</v>
      </c>
      <c r="E34" s="61" t="s">
        <v>46</v>
      </c>
      <c r="F34" s="65">
        <v>24</v>
      </c>
      <c r="G34" s="12">
        <v>1620.36</v>
      </c>
      <c r="H34" s="52">
        <f>+TRUNC((F34*G34),2)</f>
        <v>38888.64</v>
      </c>
      <c r="I34" s="14"/>
      <c r="J34" s="77"/>
      <c r="K34" s="77"/>
      <c r="L34" s="77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</row>
    <row r="35" spans="1:30" ht="12.75" customHeight="1">
      <c r="A35" s="51" t="s">
        <v>201</v>
      </c>
      <c r="B35" s="24" t="s">
        <v>36</v>
      </c>
      <c r="C35" s="61">
        <v>43048</v>
      </c>
      <c r="D35" s="11" t="s">
        <v>148</v>
      </c>
      <c r="E35" s="61" t="s">
        <v>46</v>
      </c>
      <c r="F35" s="65">
        <v>14</v>
      </c>
      <c r="G35" s="12">
        <v>2002.44</v>
      </c>
      <c r="H35" s="52">
        <f>+TRUNC((F35*G35),2)</f>
        <v>28034.16</v>
      </c>
      <c r="I35" s="14"/>
      <c r="J35" s="77"/>
      <c r="K35" s="77"/>
      <c r="L35" s="77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</row>
    <row r="36" spans="1:30" ht="12.75" customHeight="1">
      <c r="A36" s="100" t="s">
        <v>204</v>
      </c>
      <c r="B36" s="24" t="s">
        <v>36</v>
      </c>
      <c r="C36" s="61">
        <v>42981</v>
      </c>
      <c r="D36" s="11" t="s">
        <v>205</v>
      </c>
      <c r="E36" s="61" t="s">
        <v>2</v>
      </c>
      <c r="F36" s="65">
        <f>K36</f>
        <v>274</v>
      </c>
      <c r="G36" s="12">
        <v>174.5</v>
      </c>
      <c r="H36" s="52">
        <f>+TRUNC((F36*G36),2)</f>
        <v>47813</v>
      </c>
      <c r="I36" s="14"/>
      <c r="J36" s="14">
        <f>F23+F24+F25</f>
        <v>2740</v>
      </c>
      <c r="K36" s="14">
        <f>J36/10</f>
        <v>274</v>
      </c>
      <c r="L36" s="13" t="s">
        <v>206</v>
      </c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</row>
    <row r="37" spans="1:30" ht="12.75" customHeight="1">
      <c r="A37" s="53"/>
      <c r="B37" s="26"/>
      <c r="C37" s="27"/>
      <c r="D37" s="28" t="s">
        <v>9</v>
      </c>
      <c r="E37" s="61"/>
      <c r="F37" s="64"/>
      <c r="G37" s="30"/>
      <c r="H37" s="54">
        <f>SUM(H23:H36)</f>
        <v>1549862.4099999997</v>
      </c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</row>
    <row r="38" spans="1:30" ht="13.5">
      <c r="A38" s="56"/>
      <c r="B38" s="28"/>
      <c r="C38" s="27"/>
      <c r="D38" s="29"/>
      <c r="E38" s="61"/>
      <c r="F38" s="12"/>
      <c r="G38" s="29"/>
      <c r="H38" s="55"/>
      <c r="I38" s="14"/>
      <c r="J38" s="14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</row>
    <row r="39" spans="1:30" s="3" customFormat="1" ht="13.5" customHeight="1">
      <c r="A39" s="49">
        <v>3</v>
      </c>
      <c r="B39" s="23"/>
      <c r="C39" s="23"/>
      <c r="D39" s="25" t="s">
        <v>15</v>
      </c>
      <c r="E39" s="61"/>
      <c r="F39" s="25"/>
      <c r="G39" s="25"/>
      <c r="H39" s="50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</row>
    <row r="40" spans="1:30" ht="12.75" customHeight="1">
      <c r="A40" s="51" t="s">
        <v>11</v>
      </c>
      <c r="B40" s="24" t="s">
        <v>36</v>
      </c>
      <c r="C40" s="61">
        <v>42477</v>
      </c>
      <c r="D40" s="11" t="s">
        <v>57</v>
      </c>
      <c r="E40" s="61" t="s">
        <v>2</v>
      </c>
      <c r="F40" s="65">
        <v>25629.31</v>
      </c>
      <c r="G40" s="12">
        <v>3.9</v>
      </c>
      <c r="H40" s="52">
        <f>+TRUNC((F40*G40),2)</f>
        <v>99954.3</v>
      </c>
      <c r="I40" s="14"/>
      <c r="J40" s="77"/>
      <c r="K40" s="77"/>
      <c r="L40" s="77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</row>
    <row r="41" spans="1:30" ht="12.75" customHeight="1">
      <c r="A41" s="51" t="s">
        <v>12</v>
      </c>
      <c r="B41" s="24" t="s">
        <v>36</v>
      </c>
      <c r="C41" s="61">
        <v>42483</v>
      </c>
      <c r="D41" s="11" t="s">
        <v>58</v>
      </c>
      <c r="E41" s="61" t="s">
        <v>3</v>
      </c>
      <c r="F41" s="65">
        <v>2538.18</v>
      </c>
      <c r="G41" s="12">
        <v>104.07</v>
      </c>
      <c r="H41" s="52">
        <f>+TRUNC((F41*G41),2)</f>
        <v>264148.39</v>
      </c>
      <c r="I41" s="14"/>
      <c r="J41" s="77"/>
      <c r="K41" s="77"/>
      <c r="L41" s="77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</row>
    <row r="42" spans="1:30" ht="12.75" customHeight="1">
      <c r="A42" s="51" t="s">
        <v>118</v>
      </c>
      <c r="B42" s="24" t="s">
        <v>36</v>
      </c>
      <c r="C42" s="61">
        <v>40816</v>
      </c>
      <c r="D42" s="11" t="s">
        <v>59</v>
      </c>
      <c r="E42" s="61" t="s">
        <v>2</v>
      </c>
      <c r="F42" s="65">
        <v>16921.2</v>
      </c>
      <c r="G42" s="12">
        <v>0.74</v>
      </c>
      <c r="H42" s="52">
        <f>+TRUNC((F42*G42),2)</f>
        <v>12521.68</v>
      </c>
      <c r="I42" s="14"/>
      <c r="J42" s="77"/>
      <c r="K42" s="77"/>
      <c r="L42" s="77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</row>
    <row r="43" spans="1:30" ht="24.75" customHeight="1">
      <c r="A43" s="51" t="s">
        <v>119</v>
      </c>
      <c r="B43" s="24" t="s">
        <v>36</v>
      </c>
      <c r="C43" s="61">
        <v>42499</v>
      </c>
      <c r="D43" s="11" t="s">
        <v>157</v>
      </c>
      <c r="E43" s="61" t="s">
        <v>2</v>
      </c>
      <c r="F43" s="12">
        <f>F42</f>
        <v>16921.2</v>
      </c>
      <c r="G43" s="12">
        <v>80.54</v>
      </c>
      <c r="H43" s="52">
        <f>+TRUNC((F43*G43),2)</f>
        <v>1362833.44</v>
      </c>
      <c r="I43" s="14"/>
      <c r="K43" s="14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</row>
    <row r="44" spans="1:30" ht="24.75" customHeight="1">
      <c r="A44" s="51" t="s">
        <v>35</v>
      </c>
      <c r="B44" s="24" t="s">
        <v>36</v>
      </c>
      <c r="C44" s="61">
        <v>60002</v>
      </c>
      <c r="D44" s="11" t="s">
        <v>152</v>
      </c>
      <c r="E44" s="61" t="s">
        <v>37</v>
      </c>
      <c r="F44" s="12">
        <v>6091.632</v>
      </c>
      <c r="G44" s="12">
        <v>17.203</v>
      </c>
      <c r="H44" s="52">
        <f>+TRUNC((F44*G44),2)</f>
        <v>104794.34</v>
      </c>
      <c r="I44" s="14"/>
      <c r="K44" s="14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</row>
    <row r="45" spans="1:30" ht="12.75" customHeight="1">
      <c r="A45" s="53"/>
      <c r="B45" s="26"/>
      <c r="C45" s="27"/>
      <c r="D45" s="28" t="s">
        <v>10</v>
      </c>
      <c r="E45" s="61"/>
      <c r="F45" s="64"/>
      <c r="G45" s="30"/>
      <c r="H45" s="54">
        <f>SUM(H40:H44)</f>
        <v>1844252.1500000001</v>
      </c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</row>
    <row r="46" spans="1:30" ht="13.5">
      <c r="A46" s="68"/>
      <c r="B46" s="69"/>
      <c r="C46" s="70"/>
      <c r="D46" s="70"/>
      <c r="E46" s="67"/>
      <c r="F46" s="71"/>
      <c r="G46" s="72"/>
      <c r="H46" s="7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</row>
    <row r="47" spans="1:30" s="3" customFormat="1" ht="13.5" customHeight="1">
      <c r="A47" s="49">
        <v>4</v>
      </c>
      <c r="B47" s="23"/>
      <c r="C47" s="23"/>
      <c r="D47" s="25" t="s">
        <v>44</v>
      </c>
      <c r="E47" s="61"/>
      <c r="F47" s="25"/>
      <c r="G47" s="25"/>
      <c r="H47" s="50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</row>
    <row r="48" spans="1:30" ht="24.75" customHeight="1">
      <c r="A48" s="51" t="s">
        <v>43</v>
      </c>
      <c r="B48" s="24" t="s">
        <v>36</v>
      </c>
      <c r="C48" s="61">
        <v>40915</v>
      </c>
      <c r="D48" s="11" t="s">
        <v>47</v>
      </c>
      <c r="E48" s="61" t="s">
        <v>2</v>
      </c>
      <c r="F48" s="12">
        <v>8156.7</v>
      </c>
      <c r="G48" s="12">
        <v>94.77</v>
      </c>
      <c r="H48" s="52">
        <f>+TRUNC((F48*G48),2)</f>
        <v>773010.45</v>
      </c>
      <c r="I48" s="14"/>
      <c r="K48" s="14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</row>
    <row r="49" spans="1:30" ht="12.75" customHeight="1">
      <c r="A49" s="51" t="s">
        <v>124</v>
      </c>
      <c r="B49" s="24" t="s">
        <v>36</v>
      </c>
      <c r="C49" s="61">
        <v>40164</v>
      </c>
      <c r="D49" s="11" t="s">
        <v>63</v>
      </c>
      <c r="E49" s="61" t="s">
        <v>2</v>
      </c>
      <c r="F49" s="65">
        <v>107.179</v>
      </c>
      <c r="G49" s="12">
        <v>35.38</v>
      </c>
      <c r="H49" s="52">
        <f>+TRUNC((F49*G49),2)</f>
        <v>3791.99</v>
      </c>
      <c r="I49" s="14"/>
      <c r="J49" s="77"/>
      <c r="K49" s="77"/>
      <c r="L49" s="77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</row>
    <row r="50" spans="1:30" ht="12.75" customHeight="1">
      <c r="A50" s="51" t="s">
        <v>64</v>
      </c>
      <c r="B50" s="24" t="s">
        <v>36</v>
      </c>
      <c r="C50" s="61">
        <v>40902</v>
      </c>
      <c r="D50" s="11" t="s">
        <v>120</v>
      </c>
      <c r="E50" s="61" t="s">
        <v>8</v>
      </c>
      <c r="F50" s="65">
        <v>825.88</v>
      </c>
      <c r="G50" s="12">
        <v>4.15</v>
      </c>
      <c r="H50" s="52">
        <f>+TRUNC((F50*G50),2)</f>
        <v>3427.4</v>
      </c>
      <c r="I50" s="14"/>
      <c r="J50" s="77"/>
      <c r="K50" s="77"/>
      <c r="L50" s="77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</row>
    <row r="51" spans="1:30" ht="12.75" customHeight="1">
      <c r="A51" s="51" t="s">
        <v>125</v>
      </c>
      <c r="B51" s="24" t="s">
        <v>36</v>
      </c>
      <c r="C51" s="61">
        <v>41575</v>
      </c>
      <c r="D51" s="11" t="s">
        <v>121</v>
      </c>
      <c r="E51" s="61" t="s">
        <v>2</v>
      </c>
      <c r="F51" s="65">
        <v>714.584</v>
      </c>
      <c r="G51" s="12">
        <v>45.8</v>
      </c>
      <c r="H51" s="52">
        <f>+TRUNC((F51*G51),2)</f>
        <v>32727.94</v>
      </c>
      <c r="I51" s="14"/>
      <c r="J51" s="77"/>
      <c r="K51" s="77"/>
      <c r="L51" s="77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</row>
    <row r="52" spans="1:30" ht="12.75" customHeight="1">
      <c r="A52" s="51" t="s">
        <v>126</v>
      </c>
      <c r="B52" s="24" t="s">
        <v>36</v>
      </c>
      <c r="C52" s="61">
        <v>40909</v>
      </c>
      <c r="D52" s="11" t="s">
        <v>122</v>
      </c>
      <c r="E52" s="61" t="s">
        <v>123</v>
      </c>
      <c r="F52" s="65">
        <v>6</v>
      </c>
      <c r="G52" s="12">
        <v>2741.74</v>
      </c>
      <c r="H52" s="52">
        <f>+TRUNC((F52*G52),2)</f>
        <v>16450.44</v>
      </c>
      <c r="I52" s="14"/>
      <c r="J52" s="77"/>
      <c r="K52" s="77"/>
      <c r="L52" s="77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</row>
    <row r="53" spans="1:30" ht="12.75" customHeight="1">
      <c r="A53" s="53"/>
      <c r="B53" s="26"/>
      <c r="C53" s="27"/>
      <c r="D53" s="28" t="s">
        <v>45</v>
      </c>
      <c r="E53" s="61"/>
      <c r="F53" s="64"/>
      <c r="G53" s="30"/>
      <c r="H53" s="54">
        <f>SUM(H48:H52)</f>
        <v>829408.2199999999</v>
      </c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</row>
    <row r="54" spans="1:30" ht="13.5">
      <c r="A54" s="53"/>
      <c r="B54" s="26"/>
      <c r="C54" s="28"/>
      <c r="D54" s="66"/>
      <c r="E54" s="29"/>
      <c r="F54" s="12"/>
      <c r="G54" s="30"/>
      <c r="H54" s="57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</row>
    <row r="55" spans="1:30" s="3" customFormat="1" ht="13.5" customHeight="1">
      <c r="A55" s="49">
        <v>5</v>
      </c>
      <c r="B55" s="23"/>
      <c r="C55" s="23"/>
      <c r="D55" s="25" t="s">
        <v>60</v>
      </c>
      <c r="E55" s="61"/>
      <c r="F55" s="25"/>
      <c r="G55" s="25"/>
      <c r="H55" s="50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</row>
    <row r="56" spans="1:30" ht="12.75" customHeight="1">
      <c r="A56" s="51" t="s">
        <v>49</v>
      </c>
      <c r="B56" s="24" t="s">
        <v>36</v>
      </c>
      <c r="C56" s="61">
        <v>40968</v>
      </c>
      <c r="D56" s="11" t="s">
        <v>61</v>
      </c>
      <c r="E56" s="61" t="s">
        <v>37</v>
      </c>
      <c r="F56" s="65">
        <f>F42*0.0012</f>
        <v>20.30544</v>
      </c>
      <c r="G56" s="12">
        <v>1830.05</v>
      </c>
      <c r="H56" s="52">
        <f>+TRUNC((F56*G56),2)</f>
        <v>37159.97</v>
      </c>
      <c r="I56" s="14"/>
      <c r="J56" s="77"/>
      <c r="K56" s="77"/>
      <c r="L56" s="77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</row>
    <row r="57" spans="1:30" ht="12.75" customHeight="1">
      <c r="A57" s="51" t="s">
        <v>50</v>
      </c>
      <c r="B57" s="24" t="s">
        <v>36</v>
      </c>
      <c r="C57" s="61">
        <v>40972</v>
      </c>
      <c r="D57" s="11" t="s">
        <v>113</v>
      </c>
      <c r="E57" s="61" t="s">
        <v>62</v>
      </c>
      <c r="F57" s="65">
        <f>H56</f>
        <v>37159.97</v>
      </c>
      <c r="G57" s="12">
        <v>0.15</v>
      </c>
      <c r="H57" s="52">
        <f>+TRUNC((F57*G57),2)</f>
        <v>5573.99</v>
      </c>
      <c r="I57" s="14"/>
      <c r="J57" s="77"/>
      <c r="K57" s="77"/>
      <c r="L57" s="77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</row>
    <row r="58" spans="1:30" ht="24.75" customHeight="1">
      <c r="A58" s="51" t="s">
        <v>52</v>
      </c>
      <c r="B58" s="24" t="s">
        <v>36</v>
      </c>
      <c r="C58" s="61">
        <v>60008</v>
      </c>
      <c r="D58" s="11" t="s">
        <v>127</v>
      </c>
      <c r="E58" s="61" t="s">
        <v>37</v>
      </c>
      <c r="F58" s="12">
        <f>F56</f>
        <v>20.30544</v>
      </c>
      <c r="G58" s="12">
        <v>157.85</v>
      </c>
      <c r="H58" s="52">
        <f>+TRUNC((F58*G58),2)</f>
        <v>3205.21</v>
      </c>
      <c r="I58" s="14"/>
      <c r="K58" s="14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</row>
    <row r="59" spans="1:30" ht="12.75" customHeight="1">
      <c r="A59" s="53"/>
      <c r="B59" s="26"/>
      <c r="C59" s="27"/>
      <c r="D59" s="28" t="s">
        <v>51</v>
      </c>
      <c r="E59" s="61"/>
      <c r="F59" s="64"/>
      <c r="G59" s="30"/>
      <c r="H59" s="54">
        <f>SUM(H56:H58)</f>
        <v>45939.17</v>
      </c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</row>
    <row r="60" spans="1:30" ht="13.5">
      <c r="A60" s="53"/>
      <c r="B60" s="26"/>
      <c r="C60" s="28"/>
      <c r="D60" s="66"/>
      <c r="E60" s="29"/>
      <c r="F60" s="12"/>
      <c r="G60" s="30"/>
      <c r="H60" s="57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</row>
    <row r="61" spans="1:30" s="3" customFormat="1" ht="13.5" customHeight="1">
      <c r="A61" s="49">
        <v>6</v>
      </c>
      <c r="B61" s="23"/>
      <c r="C61" s="23"/>
      <c r="D61" s="25" t="s">
        <v>103</v>
      </c>
      <c r="E61" s="61"/>
      <c r="F61" s="25"/>
      <c r="G61" s="25"/>
      <c r="H61" s="50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</row>
    <row r="62" spans="1:30" ht="12.75" customHeight="1">
      <c r="A62" s="51" t="s">
        <v>65</v>
      </c>
      <c r="B62" s="24" t="s">
        <v>36</v>
      </c>
      <c r="C62" s="61">
        <v>40926</v>
      </c>
      <c r="D62" s="11" t="s">
        <v>108</v>
      </c>
      <c r="E62" s="61" t="s">
        <v>2</v>
      </c>
      <c r="F62" s="65">
        <v>1072.591</v>
      </c>
      <c r="G62" s="12">
        <v>21</v>
      </c>
      <c r="H62" s="52">
        <f>+TRUNC((F62*G62),2)</f>
        <v>22524.41</v>
      </c>
      <c r="I62" s="14"/>
      <c r="J62" s="77"/>
      <c r="K62" s="77"/>
      <c r="L62" s="77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</row>
    <row r="63" spans="1:30" ht="12.75" customHeight="1">
      <c r="A63" s="51" t="s">
        <v>66</v>
      </c>
      <c r="B63" s="24" t="s">
        <v>36</v>
      </c>
      <c r="C63" s="61">
        <v>40937</v>
      </c>
      <c r="D63" s="11" t="s">
        <v>109</v>
      </c>
      <c r="E63" s="61" t="s">
        <v>2</v>
      </c>
      <c r="F63" s="65">
        <v>6.195</v>
      </c>
      <c r="G63" s="12">
        <v>387.77</v>
      </c>
      <c r="H63" s="52">
        <f>+TRUNC((F63*G63),2)</f>
        <v>2402.23</v>
      </c>
      <c r="I63" s="14"/>
      <c r="J63" s="77"/>
      <c r="K63" s="77"/>
      <c r="L63" s="77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</row>
    <row r="64" spans="1:30" ht="12.75" customHeight="1">
      <c r="A64" s="53"/>
      <c r="B64" s="26"/>
      <c r="C64" s="27"/>
      <c r="D64" s="28" t="s">
        <v>98</v>
      </c>
      <c r="E64" s="61"/>
      <c r="F64" s="64"/>
      <c r="G64" s="30"/>
      <c r="H64" s="54">
        <f>SUM(H62:H63)</f>
        <v>24926.64</v>
      </c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</row>
    <row r="65" spans="1:30" ht="13.5">
      <c r="A65" s="53"/>
      <c r="B65" s="26"/>
      <c r="C65" s="28"/>
      <c r="D65" s="28"/>
      <c r="E65" s="29"/>
      <c r="F65" s="12"/>
      <c r="G65" s="30"/>
      <c r="H65" s="57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</row>
    <row r="66" spans="1:30" s="3" customFormat="1" ht="13.5" customHeight="1">
      <c r="A66" s="49">
        <v>7</v>
      </c>
      <c r="B66" s="23"/>
      <c r="C66" s="23"/>
      <c r="D66" s="25" t="s">
        <v>130</v>
      </c>
      <c r="E66" s="61"/>
      <c r="F66" s="25"/>
      <c r="G66" s="25"/>
      <c r="H66" s="50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</row>
    <row r="67" spans="1:30" ht="13.5">
      <c r="A67" s="51" t="s">
        <v>104</v>
      </c>
      <c r="B67" s="24" t="s">
        <v>36</v>
      </c>
      <c r="C67" s="61">
        <v>42960</v>
      </c>
      <c r="D67" s="11" t="s">
        <v>139</v>
      </c>
      <c r="E67" s="61" t="s">
        <v>3</v>
      </c>
      <c r="F67" s="71">
        <f>0.8*3330*1.5*0.6</f>
        <v>2397.6</v>
      </c>
      <c r="G67" s="12">
        <v>11.98</v>
      </c>
      <c r="H67" s="52">
        <f>+TRUNC((F67*G67),2)</f>
        <v>28723.24</v>
      </c>
      <c r="I67" s="13"/>
      <c r="J67" s="13"/>
      <c r="K67" s="13">
        <v>0.5</v>
      </c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</row>
    <row r="68" spans="1:30" ht="13.5">
      <c r="A68" s="51" t="s">
        <v>156</v>
      </c>
      <c r="B68" s="24" t="s">
        <v>36</v>
      </c>
      <c r="C68" s="61">
        <v>42964</v>
      </c>
      <c r="D68" s="11" t="s">
        <v>140</v>
      </c>
      <c r="E68" s="61" t="s">
        <v>3</v>
      </c>
      <c r="F68" s="71">
        <f>0.2*3330*3*0.6</f>
        <v>1198.8</v>
      </c>
      <c r="G68" s="12">
        <v>22.19</v>
      </c>
      <c r="H68" s="52">
        <f aca="true" t="shared" si="0" ref="H68:H76">+TRUNC((F68*G68),2)</f>
        <v>26601.37</v>
      </c>
      <c r="I68" s="13"/>
      <c r="J68" s="13"/>
      <c r="K68" s="13">
        <v>0.4</v>
      </c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</row>
    <row r="69" spans="1:30" ht="13.5">
      <c r="A69" s="51" t="s">
        <v>105</v>
      </c>
      <c r="B69" s="24" t="s">
        <v>36</v>
      </c>
      <c r="C69" s="61">
        <v>42943</v>
      </c>
      <c r="D69" s="11" t="s">
        <v>164</v>
      </c>
      <c r="E69" s="61" t="s">
        <v>8</v>
      </c>
      <c r="F69" s="71">
        <f>O69</f>
        <v>1064.88</v>
      </c>
      <c r="G69" s="12">
        <v>57.41</v>
      </c>
      <c r="H69" s="52">
        <f t="shared" si="0"/>
        <v>61134.76</v>
      </c>
      <c r="I69" s="13"/>
      <c r="J69" s="13">
        <v>1728</v>
      </c>
      <c r="K69" s="13">
        <f>K67*K68</f>
        <v>0.2</v>
      </c>
      <c r="L69" s="13">
        <f>J69*K69</f>
        <v>345.6</v>
      </c>
      <c r="M69" s="95">
        <f>F67+F68</f>
        <v>3596.3999999999996</v>
      </c>
      <c r="N69" s="95">
        <f>M69*0.2</f>
        <v>719.28</v>
      </c>
      <c r="O69" s="95">
        <f>L69+N69</f>
        <v>1064.88</v>
      </c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</row>
    <row r="70" spans="1:30" ht="42" customHeight="1">
      <c r="A70" s="51" t="s">
        <v>106</v>
      </c>
      <c r="B70" s="24" t="s">
        <v>159</v>
      </c>
      <c r="C70" s="61" t="s">
        <v>160</v>
      </c>
      <c r="D70" s="11" t="s">
        <v>158</v>
      </c>
      <c r="E70" s="61" t="s">
        <v>8</v>
      </c>
      <c r="F70" s="71">
        <v>3330</v>
      </c>
      <c r="G70" s="12">
        <v>35.37</v>
      </c>
      <c r="H70" s="52">
        <f t="shared" si="0"/>
        <v>117782.1</v>
      </c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</row>
    <row r="71" spans="1:30" ht="42" customHeight="1">
      <c r="A71" s="51" t="s">
        <v>137</v>
      </c>
      <c r="B71" s="24" t="s">
        <v>159</v>
      </c>
      <c r="C71" s="61" t="s">
        <v>162</v>
      </c>
      <c r="D71" s="11" t="s">
        <v>161</v>
      </c>
      <c r="E71" s="61" t="s">
        <v>8</v>
      </c>
      <c r="F71" s="71">
        <f>F79*6</f>
        <v>1296</v>
      </c>
      <c r="G71" s="12">
        <v>18.67</v>
      </c>
      <c r="H71" s="52">
        <f t="shared" si="0"/>
        <v>24196.32</v>
      </c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</row>
    <row r="72" spans="1:30" ht="42" customHeight="1">
      <c r="A72" s="51" t="s">
        <v>138</v>
      </c>
      <c r="B72" s="24" t="s">
        <v>159</v>
      </c>
      <c r="C72" s="61" t="s">
        <v>166</v>
      </c>
      <c r="D72" s="11" t="s">
        <v>165</v>
      </c>
      <c r="E72" s="61" t="s">
        <v>123</v>
      </c>
      <c r="F72" s="71">
        <f>F79</f>
        <v>216</v>
      </c>
      <c r="G72" s="12">
        <v>29.7</v>
      </c>
      <c r="H72" s="52">
        <f t="shared" si="0"/>
        <v>6415.2</v>
      </c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</row>
    <row r="73" spans="1:30" ht="42" customHeight="1">
      <c r="A73" s="51" t="s">
        <v>177</v>
      </c>
      <c r="B73" s="24" t="s">
        <v>159</v>
      </c>
      <c r="C73" s="61" t="s">
        <v>168</v>
      </c>
      <c r="D73" s="11" t="s">
        <v>167</v>
      </c>
      <c r="E73" s="61" t="s">
        <v>123</v>
      </c>
      <c r="F73" s="71">
        <v>10</v>
      </c>
      <c r="G73" s="12">
        <v>86.32</v>
      </c>
      <c r="H73" s="52">
        <f t="shared" si="0"/>
        <v>863.2</v>
      </c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</row>
    <row r="74" spans="1:30" ht="42" customHeight="1">
      <c r="A74" s="51" t="s">
        <v>178</v>
      </c>
      <c r="B74" s="24" t="s">
        <v>159</v>
      </c>
      <c r="C74" s="61" t="s">
        <v>170</v>
      </c>
      <c r="D74" s="11" t="s">
        <v>169</v>
      </c>
      <c r="E74" s="61" t="s">
        <v>123</v>
      </c>
      <c r="F74" s="71">
        <f>F79*2</f>
        <v>432</v>
      </c>
      <c r="G74" s="12">
        <v>39.28</v>
      </c>
      <c r="H74" s="52">
        <f t="shared" si="0"/>
        <v>16968.96</v>
      </c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</row>
    <row r="75" spans="1:30" ht="42" customHeight="1">
      <c r="A75" s="51" t="s">
        <v>179</v>
      </c>
      <c r="B75" s="24" t="s">
        <v>159</v>
      </c>
      <c r="C75" s="61" t="s">
        <v>172</v>
      </c>
      <c r="D75" s="11" t="s">
        <v>171</v>
      </c>
      <c r="E75" s="61" t="s">
        <v>123</v>
      </c>
      <c r="F75" s="71">
        <v>10</v>
      </c>
      <c r="G75" s="12">
        <v>60.38</v>
      </c>
      <c r="H75" s="52">
        <f t="shared" si="0"/>
        <v>603.8</v>
      </c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</row>
    <row r="76" spans="1:30" ht="42" customHeight="1">
      <c r="A76" s="51" t="s">
        <v>180</v>
      </c>
      <c r="B76" s="24" t="s">
        <v>159</v>
      </c>
      <c r="C76" s="61" t="s">
        <v>174</v>
      </c>
      <c r="D76" s="11" t="s">
        <v>173</v>
      </c>
      <c r="E76" s="61" t="s">
        <v>123</v>
      </c>
      <c r="F76" s="71">
        <f>F79*2</f>
        <v>432</v>
      </c>
      <c r="G76" s="12">
        <v>31.33</v>
      </c>
      <c r="H76" s="52">
        <f t="shared" si="0"/>
        <v>13534.56</v>
      </c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</row>
    <row r="77" spans="1:30" ht="13.5">
      <c r="A77" s="51" t="s">
        <v>181</v>
      </c>
      <c r="B77" s="24" t="s">
        <v>135</v>
      </c>
      <c r="C77" s="61">
        <v>141909</v>
      </c>
      <c r="D77" s="11" t="s">
        <v>136</v>
      </c>
      <c r="E77" s="61" t="s">
        <v>8</v>
      </c>
      <c r="F77" s="12">
        <f>J79*12</f>
        <v>1824</v>
      </c>
      <c r="G77" s="12">
        <f>L77</f>
        <v>52.618359375000004</v>
      </c>
      <c r="H77" s="52">
        <f>+TRUNC((F77*G77),2)</f>
        <v>95975.88</v>
      </c>
      <c r="I77" s="13"/>
      <c r="J77" s="13">
        <v>49.89</v>
      </c>
      <c r="K77" s="92">
        <f>J77/1.28</f>
        <v>38.9765625</v>
      </c>
      <c r="L77" s="92">
        <f>K77*1.35</f>
        <v>52.618359375000004</v>
      </c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</row>
    <row r="78" spans="1:30" ht="24.75" customHeight="1">
      <c r="A78" s="51" t="s">
        <v>182</v>
      </c>
      <c r="B78" s="24" t="s">
        <v>36</v>
      </c>
      <c r="C78" s="61">
        <v>43050</v>
      </c>
      <c r="D78" s="11" t="s">
        <v>134</v>
      </c>
      <c r="E78" s="61" t="s">
        <v>123</v>
      </c>
      <c r="F78" s="12">
        <v>44</v>
      </c>
      <c r="G78" s="12">
        <v>3337.07</v>
      </c>
      <c r="H78" s="52">
        <f>+TRUNC((F78*G78),2)</f>
        <v>146831.08</v>
      </c>
      <c r="I78" s="14"/>
      <c r="K78" s="14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</row>
    <row r="79" spans="1:30" ht="13.5">
      <c r="A79" s="51" t="s">
        <v>183</v>
      </c>
      <c r="B79" s="24" t="s">
        <v>36</v>
      </c>
      <c r="C79" s="61">
        <v>41162</v>
      </c>
      <c r="D79" s="11" t="s">
        <v>163</v>
      </c>
      <c r="E79" s="61" t="s">
        <v>123</v>
      </c>
      <c r="F79" s="12">
        <v>216</v>
      </c>
      <c r="G79" s="12">
        <v>1250.74</v>
      </c>
      <c r="H79" s="52">
        <f>+TRUNC((F79*G79),2)</f>
        <v>270159.84</v>
      </c>
      <c r="I79" s="13"/>
      <c r="J79" s="13">
        <v>152</v>
      </c>
      <c r="K79" s="13" t="s">
        <v>175</v>
      </c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</row>
    <row r="80" spans="1:30" ht="12.75" customHeight="1">
      <c r="A80" s="53"/>
      <c r="B80" s="26"/>
      <c r="C80" s="27"/>
      <c r="D80" s="28" t="s">
        <v>107</v>
      </c>
      <c r="E80" s="61"/>
      <c r="F80" s="64"/>
      <c r="G80" s="30"/>
      <c r="H80" s="54">
        <f>SUM(H67:H79)</f>
        <v>809790.31</v>
      </c>
      <c r="I80" s="13"/>
      <c r="J80" s="13">
        <v>64</v>
      </c>
      <c r="K80" s="13" t="s">
        <v>176</v>
      </c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</row>
    <row r="81" spans="1:30" ht="13.5">
      <c r="A81" s="96"/>
      <c r="B81" s="69"/>
      <c r="C81" s="67"/>
      <c r="D81" s="28"/>
      <c r="E81" s="67"/>
      <c r="F81" s="71"/>
      <c r="G81" s="71"/>
      <c r="H81" s="7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</row>
    <row r="82" spans="1:30" s="3" customFormat="1" ht="13.5" customHeight="1">
      <c r="A82" s="49">
        <v>8</v>
      </c>
      <c r="B82" s="23"/>
      <c r="C82" s="23"/>
      <c r="D82" s="25" t="s">
        <v>191</v>
      </c>
      <c r="E82" s="61"/>
      <c r="F82" s="25"/>
      <c r="G82" s="25"/>
      <c r="H82" s="50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</row>
    <row r="83" spans="1:30" ht="13.5">
      <c r="A83" s="51" t="s">
        <v>131</v>
      </c>
      <c r="B83" s="99" t="s">
        <v>184</v>
      </c>
      <c r="C83" s="24" t="s">
        <v>186</v>
      </c>
      <c r="D83" s="11" t="s">
        <v>185</v>
      </c>
      <c r="E83" s="61" t="s">
        <v>187</v>
      </c>
      <c r="F83" s="12">
        <v>12</v>
      </c>
      <c r="G83" s="12">
        <v>3613.54</v>
      </c>
      <c r="H83" s="52">
        <f aca="true" t="shared" si="1" ref="H83:H120">+TRUNC(F83*G83,2)</f>
        <v>43362.48</v>
      </c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</row>
    <row r="84" spans="1:30" ht="24.75" customHeight="1">
      <c r="A84" s="51" t="s">
        <v>132</v>
      </c>
      <c r="B84" s="24" t="s">
        <v>135</v>
      </c>
      <c r="C84" s="61" t="s">
        <v>188</v>
      </c>
      <c r="D84" s="11" t="s">
        <v>189</v>
      </c>
      <c r="E84" s="61" t="s">
        <v>187</v>
      </c>
      <c r="F84" s="12">
        <v>12</v>
      </c>
      <c r="G84" s="12">
        <f>L84</f>
        <v>14340.005859375002</v>
      </c>
      <c r="H84" s="52">
        <f t="shared" si="1"/>
        <v>172080.07</v>
      </c>
      <c r="I84" s="14"/>
      <c r="J84" s="4">
        <v>13596.45</v>
      </c>
      <c r="K84" s="14">
        <f>J84/1.28</f>
        <v>10622.2265625</v>
      </c>
      <c r="L84" s="13">
        <f>K84*1.35</f>
        <v>14340.005859375002</v>
      </c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</row>
    <row r="85" spans="1:30" ht="12.75" customHeight="1">
      <c r="A85" s="53"/>
      <c r="B85" s="26"/>
      <c r="C85" s="27"/>
      <c r="D85" s="28" t="s">
        <v>133</v>
      </c>
      <c r="E85" s="61"/>
      <c r="F85" s="64"/>
      <c r="G85" s="30"/>
      <c r="H85" s="54">
        <f>SUM(H83:H84)</f>
        <v>215442.55000000002</v>
      </c>
      <c r="I85" s="13"/>
      <c r="J85" s="13">
        <v>64</v>
      </c>
      <c r="K85" s="13" t="s">
        <v>176</v>
      </c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</row>
    <row r="86" spans="1:30" ht="13.5">
      <c r="A86" s="96"/>
      <c r="B86" s="69"/>
      <c r="C86" s="67"/>
      <c r="D86" s="28"/>
      <c r="E86" s="67"/>
      <c r="F86" s="71"/>
      <c r="G86" s="71"/>
      <c r="H86" s="7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</row>
    <row r="87" spans="1:30" ht="26.25" customHeight="1">
      <c r="A87" s="75">
        <v>9</v>
      </c>
      <c r="B87" s="69"/>
      <c r="C87" s="70"/>
      <c r="D87" s="25" t="s">
        <v>192</v>
      </c>
      <c r="E87" s="76"/>
      <c r="F87" s="71"/>
      <c r="G87" s="72"/>
      <c r="H87" s="7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</row>
    <row r="88" spans="1:30" ht="12.75" customHeight="1">
      <c r="A88" s="51" t="s">
        <v>209</v>
      </c>
      <c r="B88" s="24" t="s">
        <v>36</v>
      </c>
      <c r="C88" s="61">
        <v>41500</v>
      </c>
      <c r="D88" s="11" t="s">
        <v>67</v>
      </c>
      <c r="E88" s="61" t="s">
        <v>2</v>
      </c>
      <c r="F88" s="65">
        <v>36</v>
      </c>
      <c r="G88" s="12">
        <v>229.09</v>
      </c>
      <c r="H88" s="52">
        <f t="shared" si="1"/>
        <v>8247.24</v>
      </c>
      <c r="I88" s="14"/>
      <c r="J88" s="77"/>
      <c r="K88" s="77"/>
      <c r="L88" s="77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</row>
    <row r="89" spans="1:30" ht="12.75" customHeight="1">
      <c r="A89" s="51" t="s">
        <v>210</v>
      </c>
      <c r="B89" s="24" t="s">
        <v>36</v>
      </c>
      <c r="C89" s="61">
        <v>40165</v>
      </c>
      <c r="D89" s="11" t="s">
        <v>110</v>
      </c>
      <c r="E89" s="61" t="s">
        <v>2</v>
      </c>
      <c r="F89" s="65">
        <v>500</v>
      </c>
      <c r="G89" s="12">
        <v>0.55</v>
      </c>
      <c r="H89" s="52">
        <f t="shared" si="1"/>
        <v>275</v>
      </c>
      <c r="I89" s="14"/>
      <c r="J89" s="77"/>
      <c r="K89" s="77"/>
      <c r="L89" s="77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</row>
    <row r="90" spans="1:30" ht="12.75" customHeight="1">
      <c r="A90" s="51" t="s">
        <v>211</v>
      </c>
      <c r="B90" s="24" t="s">
        <v>36</v>
      </c>
      <c r="C90" s="61">
        <v>42201</v>
      </c>
      <c r="D90" s="11" t="s">
        <v>68</v>
      </c>
      <c r="E90" s="61" t="s">
        <v>2</v>
      </c>
      <c r="F90" s="65">
        <v>500</v>
      </c>
      <c r="G90" s="12">
        <v>4.44</v>
      </c>
      <c r="H90" s="52">
        <f t="shared" si="1"/>
        <v>2220</v>
      </c>
      <c r="I90" s="14"/>
      <c r="J90" s="77"/>
      <c r="K90" s="77"/>
      <c r="L90" s="77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</row>
    <row r="91" spans="1:30" ht="12.75" customHeight="1">
      <c r="A91" s="51" t="s">
        <v>212</v>
      </c>
      <c r="B91" s="24" t="s">
        <v>36</v>
      </c>
      <c r="C91" s="61">
        <v>41556</v>
      </c>
      <c r="D91" s="11" t="s">
        <v>69</v>
      </c>
      <c r="E91" s="61" t="s">
        <v>3</v>
      </c>
      <c r="F91" s="65">
        <v>100</v>
      </c>
      <c r="G91" s="12">
        <v>52.29</v>
      </c>
      <c r="H91" s="52">
        <f t="shared" si="1"/>
        <v>5229</v>
      </c>
      <c r="I91" s="14"/>
      <c r="J91" s="77"/>
      <c r="K91" s="77"/>
      <c r="L91" s="77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</row>
    <row r="92" spans="1:30" ht="24.75" customHeight="1">
      <c r="A92" s="51" t="s">
        <v>213</v>
      </c>
      <c r="B92" s="24" t="s">
        <v>36</v>
      </c>
      <c r="C92" s="61">
        <v>40901</v>
      </c>
      <c r="D92" s="11" t="s">
        <v>70</v>
      </c>
      <c r="E92" s="61" t="s">
        <v>8</v>
      </c>
      <c r="F92" s="12">
        <v>100</v>
      </c>
      <c r="G92" s="12">
        <v>11.42</v>
      </c>
      <c r="H92" s="52">
        <f t="shared" si="1"/>
        <v>1142</v>
      </c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</row>
    <row r="93" spans="1:30" ht="24.75" customHeight="1">
      <c r="A93" s="51" t="s">
        <v>214</v>
      </c>
      <c r="B93" s="24" t="s">
        <v>36</v>
      </c>
      <c r="C93" s="61">
        <v>41502</v>
      </c>
      <c r="D93" s="11" t="s">
        <v>71</v>
      </c>
      <c r="E93" s="61" t="s">
        <v>8</v>
      </c>
      <c r="F93" s="12">
        <v>50</v>
      </c>
      <c r="G93" s="12">
        <v>235.39</v>
      </c>
      <c r="H93" s="52">
        <f t="shared" si="1"/>
        <v>11769.5</v>
      </c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</row>
    <row r="94" spans="1:30" ht="24.75" customHeight="1">
      <c r="A94" s="51" t="s">
        <v>215</v>
      </c>
      <c r="B94" s="24" t="s">
        <v>36</v>
      </c>
      <c r="C94" s="61">
        <v>41503</v>
      </c>
      <c r="D94" s="11" t="s">
        <v>72</v>
      </c>
      <c r="E94" s="61" t="s">
        <v>8</v>
      </c>
      <c r="F94" s="12">
        <v>100</v>
      </c>
      <c r="G94" s="12">
        <v>335.69</v>
      </c>
      <c r="H94" s="52">
        <f t="shared" si="1"/>
        <v>33569</v>
      </c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</row>
    <row r="95" spans="1:30" ht="24.75" customHeight="1">
      <c r="A95" s="51" t="s">
        <v>216</v>
      </c>
      <c r="B95" s="24" t="s">
        <v>36</v>
      </c>
      <c r="C95" s="61">
        <v>41499</v>
      </c>
      <c r="D95" s="11" t="s">
        <v>73</v>
      </c>
      <c r="E95" s="61" t="s">
        <v>8</v>
      </c>
      <c r="F95" s="12">
        <v>100</v>
      </c>
      <c r="G95" s="12">
        <v>269.17</v>
      </c>
      <c r="H95" s="52">
        <f t="shared" si="1"/>
        <v>26917</v>
      </c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</row>
    <row r="96" spans="1:30" ht="24.75" customHeight="1">
      <c r="A96" s="51" t="s">
        <v>217</v>
      </c>
      <c r="B96" s="24" t="s">
        <v>36</v>
      </c>
      <c r="C96" s="61">
        <v>41501</v>
      </c>
      <c r="D96" s="11" t="s">
        <v>74</v>
      </c>
      <c r="E96" s="61" t="s">
        <v>8</v>
      </c>
      <c r="F96" s="12">
        <v>100</v>
      </c>
      <c r="G96" s="12">
        <v>29.25</v>
      </c>
      <c r="H96" s="52">
        <f t="shared" si="1"/>
        <v>2925</v>
      </c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</row>
    <row r="97" spans="1:30" ht="12.75" customHeight="1">
      <c r="A97" s="51" t="s">
        <v>218</v>
      </c>
      <c r="B97" s="24" t="s">
        <v>36</v>
      </c>
      <c r="C97" s="61">
        <v>41555</v>
      </c>
      <c r="D97" s="11" t="s">
        <v>75</v>
      </c>
      <c r="E97" s="61" t="s">
        <v>76</v>
      </c>
      <c r="F97" s="65">
        <v>1</v>
      </c>
      <c r="G97" s="12">
        <v>5262.89</v>
      </c>
      <c r="H97" s="52">
        <f t="shared" si="1"/>
        <v>5262.89</v>
      </c>
      <c r="I97" s="14"/>
      <c r="J97" s="77"/>
      <c r="K97" s="77"/>
      <c r="L97" s="77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</row>
    <row r="98" spans="1:30" ht="12.75" customHeight="1">
      <c r="A98" s="51" t="s">
        <v>219</v>
      </c>
      <c r="B98" s="24" t="s">
        <v>36</v>
      </c>
      <c r="C98" s="61">
        <v>41527</v>
      </c>
      <c r="D98" s="11" t="s">
        <v>77</v>
      </c>
      <c r="E98" s="61" t="s">
        <v>76</v>
      </c>
      <c r="F98" s="65">
        <v>3</v>
      </c>
      <c r="G98" s="12">
        <v>1492.65</v>
      </c>
      <c r="H98" s="52">
        <f t="shared" si="1"/>
        <v>4477.95</v>
      </c>
      <c r="I98" s="14"/>
      <c r="J98" s="77"/>
      <c r="K98" s="77"/>
      <c r="L98" s="77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</row>
    <row r="99" spans="1:30" ht="24.75" customHeight="1">
      <c r="A99" s="51" t="s">
        <v>220</v>
      </c>
      <c r="B99" s="24" t="s">
        <v>36</v>
      </c>
      <c r="C99" s="61">
        <v>41529</v>
      </c>
      <c r="D99" s="11" t="s">
        <v>78</v>
      </c>
      <c r="E99" s="61" t="s">
        <v>76</v>
      </c>
      <c r="F99" s="12">
        <v>1</v>
      </c>
      <c r="G99" s="12">
        <v>20716.69</v>
      </c>
      <c r="H99" s="52">
        <f t="shared" si="1"/>
        <v>20716.69</v>
      </c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</row>
    <row r="100" spans="1:30" ht="24.75" customHeight="1">
      <c r="A100" s="51" t="s">
        <v>221</v>
      </c>
      <c r="B100" s="24" t="s">
        <v>36</v>
      </c>
      <c r="C100" s="61">
        <v>41530</v>
      </c>
      <c r="D100" s="11" t="s">
        <v>79</v>
      </c>
      <c r="E100" s="61" t="s">
        <v>2</v>
      </c>
      <c r="F100" s="12">
        <v>15</v>
      </c>
      <c r="G100" s="12">
        <v>394.41</v>
      </c>
      <c r="H100" s="52">
        <f t="shared" si="1"/>
        <v>5916.15</v>
      </c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</row>
    <row r="101" spans="1:30" ht="24.75" customHeight="1">
      <c r="A101" s="51" t="s">
        <v>222</v>
      </c>
      <c r="B101" s="24" t="s">
        <v>36</v>
      </c>
      <c r="C101" s="61">
        <v>41528</v>
      </c>
      <c r="D101" s="11" t="s">
        <v>80</v>
      </c>
      <c r="E101" s="61" t="s">
        <v>2</v>
      </c>
      <c r="F101" s="12">
        <v>15</v>
      </c>
      <c r="G101" s="12">
        <v>267.32</v>
      </c>
      <c r="H101" s="52">
        <f t="shared" si="1"/>
        <v>4009.8</v>
      </c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</row>
    <row r="102" spans="1:30" ht="24.75" customHeight="1">
      <c r="A102" s="51" t="s">
        <v>223</v>
      </c>
      <c r="B102" s="24" t="s">
        <v>36</v>
      </c>
      <c r="C102" s="61">
        <v>41528</v>
      </c>
      <c r="D102" s="11" t="s">
        <v>81</v>
      </c>
      <c r="E102" s="61" t="s">
        <v>2</v>
      </c>
      <c r="F102" s="12">
        <v>20</v>
      </c>
      <c r="G102" s="12">
        <v>267.32</v>
      </c>
      <c r="H102" s="52">
        <f t="shared" si="1"/>
        <v>5346.4</v>
      </c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</row>
    <row r="103" spans="1:30" ht="12.75" customHeight="1">
      <c r="A103" s="51" t="s">
        <v>224</v>
      </c>
      <c r="B103" s="24" t="s">
        <v>36</v>
      </c>
      <c r="C103" s="61">
        <v>41557</v>
      </c>
      <c r="D103" s="11" t="s">
        <v>82</v>
      </c>
      <c r="E103" s="61" t="s">
        <v>8</v>
      </c>
      <c r="F103" s="65">
        <v>15</v>
      </c>
      <c r="G103" s="12">
        <v>152.15</v>
      </c>
      <c r="H103" s="52">
        <f t="shared" si="1"/>
        <v>2282.25</v>
      </c>
      <c r="I103" s="14"/>
      <c r="J103" s="77"/>
      <c r="K103" s="77"/>
      <c r="L103" s="77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</row>
    <row r="104" spans="1:30" ht="24.75" customHeight="1">
      <c r="A104" s="51" t="s">
        <v>225</v>
      </c>
      <c r="B104" s="24" t="s">
        <v>36</v>
      </c>
      <c r="C104" s="61">
        <v>41498</v>
      </c>
      <c r="D104" s="11" t="s">
        <v>83</v>
      </c>
      <c r="E104" s="61" t="s">
        <v>2</v>
      </c>
      <c r="F104" s="12">
        <v>15</v>
      </c>
      <c r="G104" s="12">
        <v>595.35</v>
      </c>
      <c r="H104" s="52">
        <f t="shared" si="1"/>
        <v>8930.25</v>
      </c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</row>
    <row r="105" spans="1:30" ht="24.75" customHeight="1">
      <c r="A105" s="51" t="s">
        <v>226</v>
      </c>
      <c r="B105" s="24" t="s">
        <v>36</v>
      </c>
      <c r="C105" s="61">
        <v>41498</v>
      </c>
      <c r="D105" s="11" t="s">
        <v>84</v>
      </c>
      <c r="E105" s="61" t="s">
        <v>2</v>
      </c>
      <c r="F105" s="12">
        <v>20</v>
      </c>
      <c r="G105" s="12">
        <v>595.35</v>
      </c>
      <c r="H105" s="52">
        <f t="shared" si="1"/>
        <v>11907</v>
      </c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</row>
    <row r="106" spans="1:30" ht="24.75" customHeight="1">
      <c r="A106" s="51" t="s">
        <v>227</v>
      </c>
      <c r="B106" s="24" t="s">
        <v>36</v>
      </c>
      <c r="C106" s="61">
        <v>41498</v>
      </c>
      <c r="D106" s="11" t="s">
        <v>85</v>
      </c>
      <c r="E106" s="61" t="s">
        <v>2</v>
      </c>
      <c r="F106" s="12">
        <v>6</v>
      </c>
      <c r="G106" s="12">
        <v>595.35</v>
      </c>
      <c r="H106" s="52">
        <f t="shared" si="1"/>
        <v>3572.1</v>
      </c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</row>
    <row r="107" spans="1:30" ht="24.75" customHeight="1">
      <c r="A107" s="51" t="s">
        <v>228</v>
      </c>
      <c r="B107" s="24" t="s">
        <v>36</v>
      </c>
      <c r="C107" s="61">
        <v>41531</v>
      </c>
      <c r="D107" s="11" t="s">
        <v>86</v>
      </c>
      <c r="E107" s="61" t="s">
        <v>2</v>
      </c>
      <c r="F107" s="12">
        <v>20</v>
      </c>
      <c r="G107" s="12">
        <v>451.58</v>
      </c>
      <c r="H107" s="52">
        <f t="shared" si="1"/>
        <v>9031.6</v>
      </c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</row>
    <row r="108" spans="1:30" ht="24.75" customHeight="1">
      <c r="A108" s="51" t="s">
        <v>229</v>
      </c>
      <c r="B108" s="24" t="s">
        <v>36</v>
      </c>
      <c r="C108" s="61">
        <v>40915</v>
      </c>
      <c r="D108" s="11" t="s">
        <v>87</v>
      </c>
      <c r="E108" s="61" t="s">
        <v>2</v>
      </c>
      <c r="F108" s="12">
        <v>50</v>
      </c>
      <c r="G108" s="12">
        <v>94.77</v>
      </c>
      <c r="H108" s="52">
        <f t="shared" si="1"/>
        <v>4738.5</v>
      </c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</row>
    <row r="109" spans="1:30" ht="12.75" customHeight="1">
      <c r="A109" s="51" t="s">
        <v>230</v>
      </c>
      <c r="B109" s="24" t="s">
        <v>36</v>
      </c>
      <c r="C109" s="61" t="s">
        <v>36</v>
      </c>
      <c r="D109" s="11" t="s">
        <v>88</v>
      </c>
      <c r="E109" s="61"/>
      <c r="F109" s="65"/>
      <c r="G109" s="12"/>
      <c r="H109" s="52"/>
      <c r="I109" s="14"/>
      <c r="J109" s="77"/>
      <c r="K109" s="77"/>
      <c r="L109" s="77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</row>
    <row r="110" spans="1:30" ht="13.5">
      <c r="A110" s="51"/>
      <c r="B110" s="24"/>
      <c r="C110" s="61">
        <v>40360</v>
      </c>
      <c r="D110" s="11" t="s">
        <v>89</v>
      </c>
      <c r="E110" s="61" t="s">
        <v>3</v>
      </c>
      <c r="F110" s="12">
        <v>20</v>
      </c>
      <c r="G110" s="12">
        <v>586.22</v>
      </c>
      <c r="H110" s="52">
        <f t="shared" si="1"/>
        <v>11724.4</v>
      </c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</row>
    <row r="111" spans="1:30" ht="13.5">
      <c r="A111" s="51"/>
      <c r="B111" s="24"/>
      <c r="C111" s="61">
        <v>40313</v>
      </c>
      <c r="D111" s="11" t="s">
        <v>90</v>
      </c>
      <c r="E111" s="61" t="s">
        <v>2</v>
      </c>
      <c r="F111" s="12">
        <v>107.28</v>
      </c>
      <c r="G111" s="12">
        <v>63.36</v>
      </c>
      <c r="H111" s="52">
        <f t="shared" si="1"/>
        <v>6797.26</v>
      </c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</row>
    <row r="112" spans="1:30" ht="13.5">
      <c r="A112" s="51"/>
      <c r="B112" s="24"/>
      <c r="C112" s="61">
        <v>40376</v>
      </c>
      <c r="D112" s="11" t="s">
        <v>91</v>
      </c>
      <c r="E112" s="61" t="s">
        <v>92</v>
      </c>
      <c r="F112" s="12">
        <v>2700</v>
      </c>
      <c r="G112" s="12">
        <v>8.88</v>
      </c>
      <c r="H112" s="52">
        <f t="shared" si="1"/>
        <v>23976</v>
      </c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</row>
    <row r="113" spans="1:30" ht="12.75" customHeight="1">
      <c r="A113" s="51" t="s">
        <v>231</v>
      </c>
      <c r="B113" s="24" t="s">
        <v>36</v>
      </c>
      <c r="C113" s="61">
        <v>41544</v>
      </c>
      <c r="D113" s="11" t="s">
        <v>93</v>
      </c>
      <c r="E113" s="61" t="s">
        <v>94</v>
      </c>
      <c r="F113" s="65">
        <v>168</v>
      </c>
      <c r="G113" s="12">
        <v>310.6</v>
      </c>
      <c r="H113" s="52">
        <f t="shared" si="1"/>
        <v>52180.8</v>
      </c>
      <c r="I113" s="14"/>
      <c r="J113" s="77"/>
      <c r="K113" s="77"/>
      <c r="L113" s="77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</row>
    <row r="114" spans="1:30" ht="12.75" customHeight="1">
      <c r="A114" s="51" t="s">
        <v>232</v>
      </c>
      <c r="B114" s="24" t="s">
        <v>36</v>
      </c>
      <c r="C114" s="61">
        <v>41545</v>
      </c>
      <c r="D114" s="11" t="s">
        <v>95</v>
      </c>
      <c r="E114" s="61" t="s">
        <v>94</v>
      </c>
      <c r="F114" s="65">
        <v>24</v>
      </c>
      <c r="G114" s="12">
        <v>147.55</v>
      </c>
      <c r="H114" s="52">
        <f t="shared" si="1"/>
        <v>3541.2</v>
      </c>
      <c r="I114" s="14"/>
      <c r="J114" s="77"/>
      <c r="K114" s="77"/>
      <c r="L114" s="77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</row>
    <row r="115" spans="1:30" ht="12.75" customHeight="1">
      <c r="A115" s="51" t="s">
        <v>233</v>
      </c>
      <c r="B115" s="24" t="s">
        <v>36</v>
      </c>
      <c r="C115" s="61">
        <v>41546</v>
      </c>
      <c r="D115" s="11" t="s">
        <v>96</v>
      </c>
      <c r="E115" s="61" t="s">
        <v>94</v>
      </c>
      <c r="F115" s="65">
        <v>36</v>
      </c>
      <c r="G115" s="12">
        <v>189.82</v>
      </c>
      <c r="H115" s="52">
        <f t="shared" si="1"/>
        <v>6833.52</v>
      </c>
      <c r="I115" s="14"/>
      <c r="J115" s="77"/>
      <c r="K115" s="77"/>
      <c r="L115" s="77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</row>
    <row r="116" spans="1:30" ht="12.75" customHeight="1">
      <c r="A116" s="51" t="s">
        <v>234</v>
      </c>
      <c r="B116" s="24" t="s">
        <v>36</v>
      </c>
      <c r="C116" s="61">
        <v>41547</v>
      </c>
      <c r="D116" s="11" t="s">
        <v>97</v>
      </c>
      <c r="E116" s="61" t="s">
        <v>94</v>
      </c>
      <c r="F116" s="65">
        <v>24</v>
      </c>
      <c r="G116" s="12">
        <v>151.03</v>
      </c>
      <c r="H116" s="52">
        <f t="shared" si="1"/>
        <v>3624.72</v>
      </c>
      <c r="I116" s="14"/>
      <c r="J116" s="77"/>
      <c r="K116" s="77"/>
      <c r="L116" s="77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</row>
    <row r="117" spans="1:30" ht="24.75" customHeight="1">
      <c r="A117" s="51" t="s">
        <v>235</v>
      </c>
      <c r="B117" s="99" t="s">
        <v>184</v>
      </c>
      <c r="C117" s="24">
        <v>280501</v>
      </c>
      <c r="D117" s="11" t="s">
        <v>193</v>
      </c>
      <c r="E117" s="61" t="s">
        <v>123</v>
      </c>
      <c r="F117" s="12">
        <v>15</v>
      </c>
      <c r="G117" s="12">
        <v>253.34</v>
      </c>
      <c r="H117" s="52">
        <f t="shared" si="1"/>
        <v>3800.1</v>
      </c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</row>
    <row r="118" spans="1:30" ht="12.75" customHeight="1">
      <c r="A118" s="51" t="s">
        <v>236</v>
      </c>
      <c r="B118" s="99" t="s">
        <v>184</v>
      </c>
      <c r="C118" s="24" t="s">
        <v>194</v>
      </c>
      <c r="D118" s="11" t="s">
        <v>195</v>
      </c>
      <c r="E118" s="61" t="s">
        <v>123</v>
      </c>
      <c r="F118" s="12">
        <v>20</v>
      </c>
      <c r="G118" s="12">
        <v>46.44</v>
      </c>
      <c r="H118" s="52">
        <f t="shared" si="1"/>
        <v>928.8</v>
      </c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</row>
    <row r="119" spans="1:30" ht="24.75" customHeight="1">
      <c r="A119" s="51" t="s">
        <v>237</v>
      </c>
      <c r="B119" s="99" t="s">
        <v>184</v>
      </c>
      <c r="C119" s="24" t="s">
        <v>197</v>
      </c>
      <c r="D119" s="11" t="s">
        <v>196</v>
      </c>
      <c r="E119" s="61" t="s">
        <v>187</v>
      </c>
      <c r="F119" s="12">
        <v>12</v>
      </c>
      <c r="G119" s="12">
        <v>419.16</v>
      </c>
      <c r="H119" s="52">
        <f t="shared" si="1"/>
        <v>5029.92</v>
      </c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</row>
    <row r="120" spans="1:30" ht="24.75" customHeight="1">
      <c r="A120" s="51" t="s">
        <v>238</v>
      </c>
      <c r="B120" s="99" t="s">
        <v>184</v>
      </c>
      <c r="C120" s="24" t="s">
        <v>199</v>
      </c>
      <c r="D120" s="11" t="s">
        <v>198</v>
      </c>
      <c r="E120" s="61" t="s">
        <v>8</v>
      </c>
      <c r="F120" s="12">
        <f>K120</f>
        <v>548</v>
      </c>
      <c r="G120" s="12">
        <v>9.46</v>
      </c>
      <c r="H120" s="52">
        <f t="shared" si="1"/>
        <v>5184.08</v>
      </c>
      <c r="I120" s="13"/>
      <c r="J120" s="95">
        <f>F23+F24+F25</f>
        <v>2740</v>
      </c>
      <c r="K120" s="95">
        <f>J120/5</f>
        <v>548</v>
      </c>
      <c r="L120" s="13" t="s">
        <v>207</v>
      </c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</row>
    <row r="121" spans="1:30" ht="12.75" customHeight="1">
      <c r="A121" s="53"/>
      <c r="B121" s="26"/>
      <c r="C121" s="27"/>
      <c r="D121" s="28" t="s">
        <v>190</v>
      </c>
      <c r="E121" s="61"/>
      <c r="F121" s="64"/>
      <c r="G121" s="30"/>
      <c r="H121" s="54">
        <f>SUM(H88:H120)</f>
        <v>302106.11999999994</v>
      </c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</row>
    <row r="122" spans="1:30" ht="13.5">
      <c r="A122" s="53"/>
      <c r="B122" s="28"/>
      <c r="C122" s="28"/>
      <c r="D122" s="28"/>
      <c r="E122" s="28"/>
      <c r="F122" s="12"/>
      <c r="G122" s="28"/>
      <c r="H122" s="55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</row>
    <row r="123" spans="1:30" s="3" customFormat="1" ht="15.75" customHeight="1" thickBot="1">
      <c r="A123" s="159" t="s">
        <v>4</v>
      </c>
      <c r="B123" s="160"/>
      <c r="C123" s="160"/>
      <c r="D123" s="160"/>
      <c r="E123" s="160"/>
      <c r="F123" s="160"/>
      <c r="G123" s="161"/>
      <c r="H123" s="58">
        <f>H20+H37+H45+H53+H121+H59+H64+H80+H85</f>
        <v>5679677.56</v>
      </c>
      <c r="I123" s="98">
        <f>SUM(H10:H19)+SUM(H23:H36)+SUM(H40:H44)+SUM(H48:H52)+SUM(H56:H58)+SUM(H62:H63)+SUM(H67:H79)+SUM(H83:H84)+SUM(H88:H120)</f>
        <v>5679677.559999999</v>
      </c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</row>
    <row r="124" spans="2:30" ht="13.5">
      <c r="B124" s="4"/>
      <c r="C124" s="4"/>
      <c r="D124" s="4"/>
      <c r="E124" s="4"/>
      <c r="F124" s="4"/>
      <c r="G124" s="4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</row>
    <row r="125" spans="2:30" ht="13.5">
      <c r="B125" s="4"/>
      <c r="C125" s="4"/>
      <c r="D125" s="4"/>
      <c r="E125" s="4"/>
      <c r="F125" s="4"/>
      <c r="G125" s="4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</row>
    <row r="126" spans="2:30" ht="13.5">
      <c r="B126" s="4"/>
      <c r="C126" s="4"/>
      <c r="D126" s="4"/>
      <c r="E126" s="4"/>
      <c r="F126" s="4"/>
      <c r="G126" s="4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</row>
    <row r="127" spans="2:30" ht="13.5">
      <c r="B127" s="4"/>
      <c r="C127" s="4"/>
      <c r="D127" s="4"/>
      <c r="E127" s="4"/>
      <c r="F127" s="4"/>
      <c r="G127" s="4"/>
      <c r="H127" s="5">
        <f>H123/(F5/1000)</f>
        <v>1853680.6657963444</v>
      </c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</row>
    <row r="128" spans="2:30" ht="13.5">
      <c r="B128" s="4"/>
      <c r="C128" s="4"/>
      <c r="D128" s="4"/>
      <c r="E128" s="4"/>
      <c r="F128" s="4"/>
      <c r="G128" s="4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</row>
    <row r="129" spans="2:30" ht="13.5">
      <c r="B129" s="4"/>
      <c r="C129" s="4"/>
      <c r="D129" s="4"/>
      <c r="E129" s="4"/>
      <c r="F129" s="4"/>
      <c r="G129" s="4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</row>
    <row r="130" spans="2:30" ht="13.5">
      <c r="B130" s="4"/>
      <c r="C130" s="4"/>
      <c r="D130" s="4"/>
      <c r="E130" s="4"/>
      <c r="F130" s="4"/>
      <c r="G130" s="4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</row>
    <row r="131" spans="2:30" ht="13.5">
      <c r="B131" s="4"/>
      <c r="C131" s="4"/>
      <c r="D131" s="4"/>
      <c r="E131" s="4"/>
      <c r="F131" s="4"/>
      <c r="G131" s="4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</row>
    <row r="132" spans="2:30" ht="13.5">
      <c r="B132" s="4"/>
      <c r="C132" s="4"/>
      <c r="D132" s="4"/>
      <c r="E132" s="4"/>
      <c r="F132" s="4"/>
      <c r="G132" s="4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</row>
  </sheetData>
  <sheetProtection/>
  <mergeCells count="11">
    <mergeCell ref="C1:D1"/>
    <mergeCell ref="C2:D2"/>
    <mergeCell ref="C3:D3"/>
    <mergeCell ref="A123:G123"/>
    <mergeCell ref="A7:A8"/>
    <mergeCell ref="G7:H7"/>
    <mergeCell ref="F7:F8"/>
    <mergeCell ref="C7:C8"/>
    <mergeCell ref="D7:D8"/>
    <mergeCell ref="E7:E8"/>
    <mergeCell ref="B7:B8"/>
  </mergeCells>
  <printOptions horizontalCentered="1" verticalCentered="1"/>
  <pageMargins left="0" right="0" top="0" bottom="0" header="0" footer="0"/>
  <pageSetup horizontalDpi="300" verticalDpi="300" orientation="landscape" paperSize="9" r:id="rId2"/>
  <rowBreaks count="4" manualBreakCount="4">
    <brk id="38" max="7" man="1"/>
    <brk id="65" max="7" man="1"/>
    <brk id="81" max="7" man="1"/>
    <brk id="102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8"/>
  <sheetViews>
    <sheetView view="pageBreakPreview" zoomScale="110" zoomScaleNormal="116" zoomScaleSheetLayoutView="110" zoomScalePageLayoutView="0" workbookViewId="0" topLeftCell="A1">
      <selection activeCell="A17" sqref="A17"/>
    </sheetView>
  </sheetViews>
  <sheetFormatPr defaultColWidth="9.140625" defaultRowHeight="12.75"/>
  <cols>
    <col min="1" max="1" width="70.140625" style="9" customWidth="1"/>
    <col min="2" max="2" width="17.140625" style="9" customWidth="1"/>
    <col min="3" max="3" width="16.8515625" style="8" customWidth="1"/>
    <col min="4" max="4" width="8.140625" style="4" bestFit="1" customWidth="1"/>
    <col min="5" max="16384" width="9.140625" style="4" customWidth="1"/>
  </cols>
  <sheetData>
    <row r="1" spans="1:3" ht="18" customHeight="1">
      <c r="A1" s="82"/>
      <c r="B1" s="78"/>
      <c r="C1" s="83"/>
    </row>
    <row r="2" spans="1:4" s="2" customFormat="1" ht="16.5" customHeight="1">
      <c r="A2" s="84"/>
      <c r="B2" s="79"/>
      <c r="C2" s="85"/>
      <c r="D2" s="10"/>
    </row>
    <row r="3" spans="1:4" s="2" customFormat="1" ht="16.5" customHeight="1">
      <c r="A3" s="174" t="s">
        <v>101</v>
      </c>
      <c r="B3" s="175"/>
      <c r="C3" s="176"/>
      <c r="D3" s="10"/>
    </row>
    <row r="4" spans="1:4" s="2" customFormat="1" ht="16.5" customHeight="1">
      <c r="A4" s="174"/>
      <c r="B4" s="175"/>
      <c r="C4" s="176"/>
      <c r="D4" s="10"/>
    </row>
    <row r="5" spans="1:4" s="2" customFormat="1" ht="16.5" customHeight="1">
      <c r="A5" s="86"/>
      <c r="B5" s="21"/>
      <c r="C5" s="87"/>
      <c r="D5" s="10"/>
    </row>
    <row r="6" spans="1:25" s="2" customFormat="1" ht="16.5" customHeight="1">
      <c r="A6" s="88"/>
      <c r="B6" s="32"/>
      <c r="C6" s="89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s="1" customFormat="1" ht="15.75">
      <c r="A7" s="162" t="s">
        <v>41</v>
      </c>
      <c r="B7" s="177" t="s">
        <v>5</v>
      </c>
      <c r="C7" s="171" t="s">
        <v>102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</row>
    <row r="8" spans="1:25" s="1" customFormat="1" ht="15.75">
      <c r="A8" s="163"/>
      <c r="B8" s="178"/>
      <c r="C8" s="172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25" s="3" customFormat="1" ht="30" customHeight="1">
      <c r="A9" s="90" t="s">
        <v>16</v>
      </c>
      <c r="B9" s="80">
        <f>ORÇAMENTO!H20</f>
        <v>57949.990000000005</v>
      </c>
      <c r="C9" s="91">
        <f>B9/B18</f>
        <v>0.01020304223044662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</row>
    <row r="10" spans="1:25" s="3" customFormat="1" ht="30" customHeight="1">
      <c r="A10" s="90" t="s">
        <v>17</v>
      </c>
      <c r="B10" s="80">
        <f>ORÇAMENTO!H37</f>
        <v>1549862.4099999997</v>
      </c>
      <c r="C10" s="91">
        <f>B10/B18</f>
        <v>0.2728785910163534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</row>
    <row r="11" spans="1:25" s="3" customFormat="1" ht="30" customHeight="1">
      <c r="A11" s="90" t="s">
        <v>15</v>
      </c>
      <c r="B11" s="80">
        <f>ORÇAMENTO!H45</f>
        <v>1844252.1500000001</v>
      </c>
      <c r="C11" s="91">
        <f>B11/B18</f>
        <v>0.32471071297927706</v>
      </c>
      <c r="D11" s="14"/>
      <c r="E11" s="14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</row>
    <row r="12" spans="1:25" ht="30" customHeight="1">
      <c r="A12" s="90" t="s">
        <v>44</v>
      </c>
      <c r="B12" s="80">
        <f>ORÇAMENTO!H53</f>
        <v>829408.2199999999</v>
      </c>
      <c r="C12" s="91">
        <f>B12/B18</f>
        <v>0.14603086376614663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30" customHeight="1">
      <c r="A13" s="90" t="s">
        <v>60</v>
      </c>
      <c r="B13" s="80">
        <f>ORÇAMENTO!H59</f>
        <v>45939.17</v>
      </c>
      <c r="C13" s="91">
        <f>B13/B18</f>
        <v>0.008088341198016883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</row>
    <row r="14" spans="1:25" ht="30" customHeight="1">
      <c r="A14" s="90" t="s">
        <v>103</v>
      </c>
      <c r="B14" s="81">
        <f>ORÇAMENTO!H64</f>
        <v>24926.64</v>
      </c>
      <c r="C14" s="91">
        <f>B14/B18</f>
        <v>0.0043887420961270214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</row>
    <row r="15" spans="1:25" ht="30" customHeight="1">
      <c r="A15" s="90" t="s">
        <v>130</v>
      </c>
      <c r="B15" s="81">
        <f>ORÇAMENTO!H80</f>
        <v>809790.31</v>
      </c>
      <c r="C15" s="91">
        <f>B15/B18</f>
        <v>0.14257681029343508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</row>
    <row r="16" spans="1:25" ht="30" customHeight="1">
      <c r="A16" s="90" t="s">
        <v>191</v>
      </c>
      <c r="B16" s="81">
        <f>ORÇAMENTO!H85</f>
        <v>215442.55000000002</v>
      </c>
      <c r="C16" s="91">
        <f>B16/B18</f>
        <v>0.037932179727470317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</row>
    <row r="17" spans="1:25" ht="30" customHeight="1">
      <c r="A17" s="90" t="s">
        <v>192</v>
      </c>
      <c r="B17" s="81">
        <f>ORÇAMENTO!H121</f>
        <v>302106.11999999994</v>
      </c>
      <c r="C17" s="91">
        <f>B17/B18</f>
        <v>0.05319071669272719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</row>
    <row r="18" spans="1:25" ht="21" customHeight="1">
      <c r="A18" s="90" t="s">
        <v>5</v>
      </c>
      <c r="B18" s="80">
        <f>SUM(B9:B17)</f>
        <v>5679677.559999999</v>
      </c>
      <c r="C18" s="91">
        <f>SUM(C9:C17)</f>
        <v>1.0000000000000002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</row>
    <row r="19" spans="1:25" s="3" customFormat="1" ht="17.25" thickBot="1">
      <c r="A19" s="159"/>
      <c r="B19" s="160"/>
      <c r="C19" s="173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</row>
    <row r="20" spans="4:25" ht="13.5"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</row>
    <row r="21" spans="4:25" ht="13.5"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</row>
    <row r="22" spans="4:25" ht="13.5"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</row>
    <row r="23" spans="4:25" ht="13.5"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</row>
    <row r="24" spans="4:25" ht="13.5"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</row>
    <row r="25" spans="4:25" ht="13.5"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</row>
    <row r="26" spans="4:25" ht="13.5"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</row>
    <row r="27" spans="4:25" ht="13.5"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</row>
    <row r="28" spans="4:25" ht="13.5"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</row>
  </sheetData>
  <sheetProtection/>
  <mergeCells count="5">
    <mergeCell ref="C7:C8"/>
    <mergeCell ref="A19:C19"/>
    <mergeCell ref="A3:C4"/>
    <mergeCell ref="B7:B8"/>
    <mergeCell ref="A7:A8"/>
  </mergeCells>
  <printOptions horizontalCentered="1"/>
  <pageMargins left="0.5118110236220472" right="0.1968503937007874" top="0.5511811023622047" bottom="0.1968503937007874" header="0.31496062992125984" footer="0.31496062992125984"/>
  <pageSetup horizontalDpi="300" verticalDpi="300" orientation="landscape" paperSize="9" scale="11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3"/>
  <sheetViews>
    <sheetView showZeros="0" view="pageBreakPreview" zoomScaleSheetLayoutView="100" zoomScalePageLayoutView="0" workbookViewId="0" topLeftCell="A1">
      <selection activeCell="B13" sqref="B13"/>
    </sheetView>
  </sheetViews>
  <sheetFormatPr defaultColWidth="9.140625" defaultRowHeight="12.75"/>
  <cols>
    <col min="1" max="1" width="4.7109375" style="102" customWidth="1"/>
    <col min="2" max="2" width="39.57421875" style="102" customWidth="1"/>
    <col min="3" max="15" width="9.7109375" style="102" customWidth="1"/>
    <col min="16" max="16" width="12.57421875" style="102" customWidth="1"/>
    <col min="17" max="17" width="11.7109375" style="102" bestFit="1" customWidth="1"/>
  </cols>
  <sheetData>
    <row r="1" spans="1:16" s="102" customFormat="1" ht="24.75" customHeight="1" thickBot="1">
      <c r="A1" s="179" t="s">
        <v>115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1"/>
      <c r="P1" s="101"/>
    </row>
    <row r="2" spans="1:16" s="102" customFormat="1" ht="24.75" customHeight="1" thickBot="1">
      <c r="A2" s="179" t="s">
        <v>239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1"/>
      <c r="P2" s="101"/>
    </row>
    <row r="3" spans="1:16" s="102" customFormat="1" ht="19.5" customHeight="1">
      <c r="A3" s="188" t="s">
        <v>269</v>
      </c>
      <c r="B3" s="189"/>
      <c r="C3" s="189"/>
      <c r="D3" s="190"/>
      <c r="E3" s="128" t="s">
        <v>240</v>
      </c>
      <c r="F3" s="182">
        <f>O17</f>
        <v>5679677.559999999</v>
      </c>
      <c r="G3" s="182"/>
      <c r="H3" s="103"/>
      <c r="I3" s="103"/>
      <c r="J3" s="103"/>
      <c r="K3" s="103"/>
      <c r="L3" s="103"/>
      <c r="M3" s="103"/>
      <c r="N3" s="103"/>
      <c r="O3" s="104"/>
      <c r="P3" s="105"/>
    </row>
    <row r="4" spans="1:16" s="102" customFormat="1" ht="19.5" customHeight="1">
      <c r="A4" s="183" t="s">
        <v>270</v>
      </c>
      <c r="B4" s="184"/>
      <c r="C4" s="184"/>
      <c r="D4" s="185"/>
      <c r="E4" s="129" t="str">
        <f>ORÇAMENTO!E4</f>
        <v>DATA-BASE:</v>
      </c>
      <c r="F4" s="106"/>
      <c r="G4" s="130">
        <f>ORÇAMENTO!F4</f>
        <v>41579</v>
      </c>
      <c r="H4" s="131" t="str">
        <f>ORÇAMENTO!G4</f>
        <v>DER-ES</v>
      </c>
      <c r="I4" s="106"/>
      <c r="J4" s="106"/>
      <c r="K4" s="106"/>
      <c r="L4" s="106"/>
      <c r="M4" s="106"/>
      <c r="N4" s="106"/>
      <c r="O4" s="107"/>
      <c r="P4" s="105"/>
    </row>
    <row r="5" spans="1:16" s="102" customFormat="1" ht="19.5" customHeight="1" thickBot="1">
      <c r="A5" s="124" t="s">
        <v>271</v>
      </c>
      <c r="B5" s="108"/>
      <c r="C5" s="108"/>
      <c r="D5" s="108"/>
      <c r="E5" s="109"/>
      <c r="F5" s="110"/>
      <c r="G5" s="110"/>
      <c r="H5" s="110"/>
      <c r="I5" s="110"/>
      <c r="J5" s="110"/>
      <c r="K5" s="110"/>
      <c r="L5" s="110"/>
      <c r="M5" s="110"/>
      <c r="N5" s="110"/>
      <c r="O5" s="111"/>
      <c r="P5" s="105"/>
    </row>
    <row r="6" spans="1:16" s="102" customFormat="1" ht="19.5" customHeight="1" thickBot="1">
      <c r="A6" s="149" t="s">
        <v>0</v>
      </c>
      <c r="B6" s="152" t="s">
        <v>241</v>
      </c>
      <c r="C6" s="186" t="s">
        <v>242</v>
      </c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7"/>
      <c r="O6" s="142" t="s">
        <v>243</v>
      </c>
      <c r="P6" s="112"/>
    </row>
    <row r="7" spans="1:16" s="102" customFormat="1" ht="19.5" customHeight="1">
      <c r="A7" s="150"/>
      <c r="B7" s="153"/>
      <c r="C7" s="147" t="s">
        <v>244</v>
      </c>
      <c r="D7" s="113" t="s">
        <v>245</v>
      </c>
      <c r="E7" s="113" t="s">
        <v>246</v>
      </c>
      <c r="F7" s="113" t="s">
        <v>247</v>
      </c>
      <c r="G7" s="113" t="s">
        <v>248</v>
      </c>
      <c r="H7" s="113" t="s">
        <v>249</v>
      </c>
      <c r="I7" s="113" t="s">
        <v>250</v>
      </c>
      <c r="J7" s="113" t="s">
        <v>251</v>
      </c>
      <c r="K7" s="113" t="s">
        <v>252</v>
      </c>
      <c r="L7" s="113" t="s">
        <v>253</v>
      </c>
      <c r="M7" s="113" t="s">
        <v>254</v>
      </c>
      <c r="N7" s="140" t="s">
        <v>255</v>
      </c>
      <c r="O7" s="143"/>
      <c r="P7" s="114"/>
    </row>
    <row r="8" spans="1:18" s="102" customFormat="1" ht="19.5" customHeight="1">
      <c r="A8" s="151" t="s">
        <v>256</v>
      </c>
      <c r="B8" s="154" t="str">
        <f>RESUMO!A9</f>
        <v>TERRAPLANAGEM</v>
      </c>
      <c r="C8" s="148">
        <f>P8/3</f>
        <v>19316.663333333334</v>
      </c>
      <c r="D8" s="133">
        <f>P8/3</f>
        <v>19316.663333333334</v>
      </c>
      <c r="E8" s="133">
        <f>P8/3</f>
        <v>19316.663333333334</v>
      </c>
      <c r="F8" s="134"/>
      <c r="G8" s="135"/>
      <c r="H8" s="135"/>
      <c r="I8" s="135"/>
      <c r="J8" s="135"/>
      <c r="K8" s="135"/>
      <c r="L8" s="135"/>
      <c r="M8" s="135"/>
      <c r="N8" s="135"/>
      <c r="O8" s="144">
        <f aca="true" t="shared" si="0" ref="O8:O16">SUM(C8:N8)</f>
        <v>57949.990000000005</v>
      </c>
      <c r="P8" s="116">
        <f>RESUMO!B9</f>
        <v>57949.990000000005</v>
      </c>
      <c r="Q8" s="132">
        <f>P8-O8</f>
        <v>0</v>
      </c>
      <c r="R8" s="115"/>
    </row>
    <row r="9" spans="1:18" s="102" customFormat="1" ht="19.5" customHeight="1">
      <c r="A9" s="151" t="s">
        <v>257</v>
      </c>
      <c r="B9" s="154" t="str">
        <f>RESUMO!A10</f>
        <v> DRENAGEM E OBRAS DE ARTE CORRENTES</v>
      </c>
      <c r="C9" s="148"/>
      <c r="D9" s="133">
        <f>P9/10</f>
        <v>154986.24099999998</v>
      </c>
      <c r="E9" s="133">
        <f>P9/10</f>
        <v>154986.24099999998</v>
      </c>
      <c r="F9" s="134">
        <f>P9/10</f>
        <v>154986.24099999998</v>
      </c>
      <c r="G9" s="135">
        <f>P9/10</f>
        <v>154986.24099999998</v>
      </c>
      <c r="H9" s="135">
        <f>P9/10</f>
        <v>154986.24099999998</v>
      </c>
      <c r="I9" s="135">
        <f>P9/10</f>
        <v>154986.24099999998</v>
      </c>
      <c r="J9" s="135">
        <f>P9/10</f>
        <v>154986.24099999998</v>
      </c>
      <c r="K9" s="135">
        <f>P9/10</f>
        <v>154986.24099999998</v>
      </c>
      <c r="L9" s="135">
        <f>P9/10</f>
        <v>154986.24099999998</v>
      </c>
      <c r="M9" s="135">
        <f>P9/10</f>
        <v>154986.24099999998</v>
      </c>
      <c r="N9" s="135"/>
      <c r="O9" s="144">
        <f t="shared" si="0"/>
        <v>1549862.4099999995</v>
      </c>
      <c r="P9" s="116">
        <f>RESUMO!B10</f>
        <v>1549862.4099999997</v>
      </c>
      <c r="Q9" s="132">
        <f aca="true" t="shared" si="1" ref="Q9:Q16">P9-O9</f>
        <v>0</v>
      </c>
      <c r="R9" s="115"/>
    </row>
    <row r="10" spans="1:18" s="102" customFormat="1" ht="19.5" customHeight="1">
      <c r="A10" s="151" t="s">
        <v>258</v>
      </c>
      <c r="B10" s="154" t="str">
        <f>RESUMO!A11</f>
        <v>PAVIMENTAÇÃO</v>
      </c>
      <c r="C10" s="148"/>
      <c r="D10" s="133">
        <f>P10/11</f>
        <v>167659.28636363638</v>
      </c>
      <c r="E10" s="133">
        <f>P10/11</f>
        <v>167659.28636363638</v>
      </c>
      <c r="F10" s="134">
        <f>P10/11</f>
        <v>167659.28636363638</v>
      </c>
      <c r="G10" s="135">
        <f>P10/11</f>
        <v>167659.28636363638</v>
      </c>
      <c r="H10" s="135">
        <f>P10/11</f>
        <v>167659.28636363638</v>
      </c>
      <c r="I10" s="135">
        <f>P10/11</f>
        <v>167659.28636363638</v>
      </c>
      <c r="J10" s="135">
        <f>P10/11</f>
        <v>167659.28636363638</v>
      </c>
      <c r="K10" s="135">
        <f>P10/11</f>
        <v>167659.28636363638</v>
      </c>
      <c r="L10" s="135">
        <f>P10/11</f>
        <v>167659.28636363638</v>
      </c>
      <c r="M10" s="135">
        <f>P10/11</f>
        <v>167659.28636363638</v>
      </c>
      <c r="N10" s="135">
        <f>P10/11</f>
        <v>167659.28636363638</v>
      </c>
      <c r="O10" s="144">
        <f t="shared" si="0"/>
        <v>1844252.1500000001</v>
      </c>
      <c r="P10" s="116">
        <f>RESUMO!B11</f>
        <v>1844252.1500000001</v>
      </c>
      <c r="Q10" s="132">
        <f t="shared" si="1"/>
        <v>0</v>
      </c>
      <c r="R10" s="115"/>
    </row>
    <row r="11" spans="1:18" s="102" customFormat="1" ht="19.5" customHeight="1">
      <c r="A11" s="151" t="s">
        <v>259</v>
      </c>
      <c r="B11" s="154" t="str">
        <f>RESUMO!A12</f>
        <v>OBRAS COMPLEMENTARES</v>
      </c>
      <c r="C11" s="148"/>
      <c r="D11" s="133"/>
      <c r="E11" s="133"/>
      <c r="F11" s="134">
        <f>P11/9</f>
        <v>92156.46888888888</v>
      </c>
      <c r="G11" s="135">
        <f>P11/9</f>
        <v>92156.46888888888</v>
      </c>
      <c r="H11" s="135">
        <f>P11/9</f>
        <v>92156.46888888888</v>
      </c>
      <c r="I11" s="135">
        <f>P11/9</f>
        <v>92156.46888888888</v>
      </c>
      <c r="J11" s="135">
        <f>P11/9</f>
        <v>92156.46888888888</v>
      </c>
      <c r="K11" s="135">
        <f>P11/9</f>
        <v>92156.46888888888</v>
      </c>
      <c r="L11" s="135">
        <f>P11/9</f>
        <v>92156.46888888888</v>
      </c>
      <c r="M11" s="135">
        <f>P11/9</f>
        <v>92156.46888888888</v>
      </c>
      <c r="N11" s="135">
        <f>P11/9</f>
        <v>92156.46888888888</v>
      </c>
      <c r="O11" s="144">
        <f t="shared" si="0"/>
        <v>829408.2199999997</v>
      </c>
      <c r="P11" s="116">
        <f>RESUMO!B12</f>
        <v>829408.2199999999</v>
      </c>
      <c r="Q11" s="132">
        <f t="shared" si="1"/>
        <v>0</v>
      </c>
      <c r="R11" s="115"/>
    </row>
    <row r="12" spans="1:18" s="102" customFormat="1" ht="19.5" customHeight="1">
      <c r="A12" s="151" t="s">
        <v>260</v>
      </c>
      <c r="B12" s="154" t="str">
        <f>RESUMO!A13</f>
        <v>MATERIAL BETUMINOSO</v>
      </c>
      <c r="C12" s="148"/>
      <c r="D12" s="133">
        <f>P12/11</f>
        <v>4176.288181818181</v>
      </c>
      <c r="E12" s="133">
        <f>P12/11</f>
        <v>4176.288181818181</v>
      </c>
      <c r="F12" s="134">
        <f>P12/11</f>
        <v>4176.288181818181</v>
      </c>
      <c r="G12" s="135">
        <f>P12/11</f>
        <v>4176.288181818181</v>
      </c>
      <c r="H12" s="135">
        <f>P12/11</f>
        <v>4176.288181818181</v>
      </c>
      <c r="I12" s="135">
        <f>P12/11</f>
        <v>4176.288181818181</v>
      </c>
      <c r="J12" s="135">
        <f>P12/11</f>
        <v>4176.288181818181</v>
      </c>
      <c r="K12" s="135">
        <f>P12/11</f>
        <v>4176.288181818181</v>
      </c>
      <c r="L12" s="135">
        <f>P12/11</f>
        <v>4176.288181818181</v>
      </c>
      <c r="M12" s="135">
        <f>P12/11</f>
        <v>4176.288181818181</v>
      </c>
      <c r="N12" s="135">
        <f>P12/11</f>
        <v>4176.288181818181</v>
      </c>
      <c r="O12" s="144">
        <f t="shared" si="0"/>
        <v>45939.169999999984</v>
      </c>
      <c r="P12" s="116">
        <f>RESUMO!B13</f>
        <v>45939.17</v>
      </c>
      <c r="Q12" s="132">
        <f t="shared" si="1"/>
        <v>0</v>
      </c>
      <c r="R12" s="115"/>
    </row>
    <row r="13" spans="1:18" s="102" customFormat="1" ht="19.5" customHeight="1">
      <c r="A13" s="151" t="s">
        <v>261</v>
      </c>
      <c r="B13" s="154" t="str">
        <f>RESUMO!A14</f>
        <v>SINALIZAÇÃO</v>
      </c>
      <c r="C13" s="148"/>
      <c r="D13" s="133"/>
      <c r="E13" s="133"/>
      <c r="F13" s="134"/>
      <c r="G13" s="135"/>
      <c r="H13" s="135"/>
      <c r="I13" s="135"/>
      <c r="J13" s="135"/>
      <c r="K13" s="135"/>
      <c r="L13" s="135"/>
      <c r="M13" s="135"/>
      <c r="N13" s="135">
        <f>P13</f>
        <v>24926.64</v>
      </c>
      <c r="O13" s="144">
        <f t="shared" si="0"/>
        <v>24926.64</v>
      </c>
      <c r="P13" s="116">
        <f>RESUMO!B14</f>
        <v>24926.64</v>
      </c>
      <c r="Q13" s="132">
        <f t="shared" si="1"/>
        <v>0</v>
      </c>
      <c r="R13" s="115"/>
    </row>
    <row r="14" spans="1:18" s="102" customFormat="1" ht="19.5" customHeight="1">
      <c r="A14" s="151" t="s">
        <v>262</v>
      </c>
      <c r="B14" s="154" t="str">
        <f>RESUMO!A15</f>
        <v>REDE DE ESGOTAMENTO SANITARIO</v>
      </c>
      <c r="C14" s="148"/>
      <c r="D14" s="133">
        <f>P14/10</f>
        <v>80979.031</v>
      </c>
      <c r="E14" s="133">
        <f>P14/10</f>
        <v>80979.031</v>
      </c>
      <c r="F14" s="134">
        <f>P14/10</f>
        <v>80979.031</v>
      </c>
      <c r="G14" s="135">
        <f>P14/10</f>
        <v>80979.031</v>
      </c>
      <c r="H14" s="135">
        <f>P14/10</f>
        <v>80979.031</v>
      </c>
      <c r="I14" s="135">
        <f>P14/10</f>
        <v>80979.031</v>
      </c>
      <c r="J14" s="135">
        <f>P14/10</f>
        <v>80979.031</v>
      </c>
      <c r="K14" s="135">
        <f>P14/10</f>
        <v>80979.031</v>
      </c>
      <c r="L14" s="135">
        <f>P14/10</f>
        <v>80979.031</v>
      </c>
      <c r="M14" s="135">
        <f>P14/10</f>
        <v>80979.031</v>
      </c>
      <c r="N14" s="135"/>
      <c r="O14" s="144">
        <f t="shared" si="0"/>
        <v>809790.3099999999</v>
      </c>
      <c r="P14" s="116">
        <f>RESUMO!B15</f>
        <v>809790.31</v>
      </c>
      <c r="Q14" s="132">
        <f t="shared" si="1"/>
        <v>0</v>
      </c>
      <c r="R14" s="115"/>
    </row>
    <row r="15" spans="1:18" s="102" customFormat="1" ht="19.5" customHeight="1">
      <c r="A15" s="151" t="s">
        <v>263</v>
      </c>
      <c r="B15" s="154" t="str">
        <f>RESUMO!A16</f>
        <v>SERVIÇOS AUXILIARES TÉCNICOS</v>
      </c>
      <c r="C15" s="148">
        <f>P15/12</f>
        <v>17953.545833333334</v>
      </c>
      <c r="D15" s="133">
        <f>P15/12</f>
        <v>17953.545833333334</v>
      </c>
      <c r="E15" s="133">
        <f>P15/12</f>
        <v>17953.545833333334</v>
      </c>
      <c r="F15" s="134">
        <f>P15/12</f>
        <v>17953.545833333334</v>
      </c>
      <c r="G15" s="135">
        <f>P15/12</f>
        <v>17953.545833333334</v>
      </c>
      <c r="H15" s="135">
        <f>P15/12</f>
        <v>17953.545833333334</v>
      </c>
      <c r="I15" s="135">
        <f>P15/12</f>
        <v>17953.545833333334</v>
      </c>
      <c r="J15" s="135">
        <f>P15/12</f>
        <v>17953.545833333334</v>
      </c>
      <c r="K15" s="135">
        <f>P15/12</f>
        <v>17953.545833333334</v>
      </c>
      <c r="L15" s="135">
        <f>P15/12</f>
        <v>17953.545833333334</v>
      </c>
      <c r="M15" s="135">
        <f>P15/12</f>
        <v>17953.545833333334</v>
      </c>
      <c r="N15" s="135">
        <f>P15/12</f>
        <v>17953.545833333334</v>
      </c>
      <c r="O15" s="144">
        <f t="shared" si="0"/>
        <v>215442.55000000002</v>
      </c>
      <c r="P15" s="116">
        <f>RESUMO!B16</f>
        <v>215442.55000000002</v>
      </c>
      <c r="Q15" s="132">
        <f t="shared" si="1"/>
        <v>0</v>
      </c>
      <c r="R15" s="115"/>
    </row>
    <row r="16" spans="1:18" s="102" customFormat="1" ht="65.25" customHeight="1" thickBot="1">
      <c r="A16" s="151" t="s">
        <v>264</v>
      </c>
      <c r="B16" s="155" t="str">
        <f>RESUMO!A17</f>
        <v>INSTALAÇÃO DE CANTEIRO, MOBILIZAÇÃO, DESMOBILIZAÇÃO E SINALIZAÇÃO PARA SEGURANÇA NA EXECUÇÃO DA OBRA</v>
      </c>
      <c r="C16" s="148">
        <f>P16</f>
        <v>302106.11999999994</v>
      </c>
      <c r="D16" s="133"/>
      <c r="E16" s="133"/>
      <c r="F16" s="134"/>
      <c r="G16" s="135"/>
      <c r="H16" s="135"/>
      <c r="I16" s="135"/>
      <c r="J16" s="135"/>
      <c r="K16" s="135"/>
      <c r="L16" s="135"/>
      <c r="M16" s="135"/>
      <c r="N16" s="135"/>
      <c r="O16" s="144">
        <f t="shared" si="0"/>
        <v>302106.11999999994</v>
      </c>
      <c r="P16" s="116">
        <f>RESUMO!B17</f>
        <v>302106.11999999994</v>
      </c>
      <c r="Q16" s="132">
        <f t="shared" si="1"/>
        <v>0</v>
      </c>
      <c r="R16" s="115"/>
    </row>
    <row r="17" spans="1:18" s="119" customFormat="1" ht="12" customHeight="1" thickBot="1">
      <c r="A17" s="125" t="s">
        <v>265</v>
      </c>
      <c r="B17" s="117"/>
      <c r="C17" s="136">
        <f aca="true" t="shared" si="2" ref="C17:P17">SUM(C8:C16)</f>
        <v>339376.3291666666</v>
      </c>
      <c r="D17" s="136">
        <f t="shared" si="2"/>
        <v>445071.05571212125</v>
      </c>
      <c r="E17" s="136">
        <f t="shared" si="2"/>
        <v>445071.05571212125</v>
      </c>
      <c r="F17" s="136">
        <f t="shared" si="2"/>
        <v>517910.8612676768</v>
      </c>
      <c r="G17" s="136">
        <f t="shared" si="2"/>
        <v>517910.8612676768</v>
      </c>
      <c r="H17" s="136">
        <f t="shared" si="2"/>
        <v>517910.8612676768</v>
      </c>
      <c r="I17" s="136">
        <f t="shared" si="2"/>
        <v>517910.8612676768</v>
      </c>
      <c r="J17" s="136">
        <f t="shared" si="2"/>
        <v>517910.8612676768</v>
      </c>
      <c r="K17" s="136">
        <f t="shared" si="2"/>
        <v>517910.8612676768</v>
      </c>
      <c r="L17" s="136">
        <f t="shared" si="2"/>
        <v>517910.8612676768</v>
      </c>
      <c r="M17" s="136">
        <f t="shared" si="2"/>
        <v>517910.8612676768</v>
      </c>
      <c r="N17" s="141">
        <f t="shared" si="2"/>
        <v>306872.2292676768</v>
      </c>
      <c r="O17" s="145">
        <f t="shared" si="2"/>
        <v>5679677.559999999</v>
      </c>
      <c r="P17" s="139">
        <f t="shared" si="2"/>
        <v>5679677.559999999</v>
      </c>
      <c r="Q17" s="118"/>
      <c r="R17" s="118"/>
    </row>
    <row r="18" spans="1:16" s="102" customFormat="1" ht="12" customHeight="1" thickBot="1">
      <c r="A18" s="126" t="s">
        <v>266</v>
      </c>
      <c r="B18" s="127"/>
      <c r="C18" s="137">
        <f>C17</f>
        <v>339376.3291666666</v>
      </c>
      <c r="D18" s="137">
        <f aca="true" t="shared" si="3" ref="D18:N18">C18+D17</f>
        <v>784447.3848787879</v>
      </c>
      <c r="E18" s="137">
        <f t="shared" si="3"/>
        <v>1229518.4405909092</v>
      </c>
      <c r="F18" s="137">
        <f t="shared" si="3"/>
        <v>1747429.301858586</v>
      </c>
      <c r="G18" s="137">
        <f t="shared" si="3"/>
        <v>2265340.163126263</v>
      </c>
      <c r="H18" s="137">
        <f t="shared" si="3"/>
        <v>2783251.0243939394</v>
      </c>
      <c r="I18" s="137">
        <f t="shared" si="3"/>
        <v>3301161.885661616</v>
      </c>
      <c r="J18" s="137">
        <f t="shared" si="3"/>
        <v>3819072.7469292926</v>
      </c>
      <c r="K18" s="137">
        <f t="shared" si="3"/>
        <v>4336983.608196969</v>
      </c>
      <c r="L18" s="138">
        <f t="shared" si="3"/>
        <v>4854894.469464646</v>
      </c>
      <c r="M18" s="138">
        <f t="shared" si="3"/>
        <v>5372805.330732322</v>
      </c>
      <c r="N18" s="138">
        <f t="shared" si="3"/>
        <v>5679677.559999999</v>
      </c>
      <c r="O18" s="146"/>
      <c r="P18" s="120"/>
    </row>
    <row r="19" spans="1:17" s="102" customFormat="1" ht="12" customHeight="1" thickBot="1">
      <c r="A19" s="126" t="s">
        <v>267</v>
      </c>
      <c r="B19" s="127"/>
      <c r="C19" s="137">
        <f>C17*100/O17</f>
        <v>5.9752745746831915</v>
      </c>
      <c r="D19" s="137">
        <f>D17*100/O17</f>
        <v>7.836202865574668</v>
      </c>
      <c r="E19" s="137">
        <f>E17*100/O17</f>
        <v>7.836202865574668</v>
      </c>
      <c r="F19" s="137">
        <f>F17*100/O17</f>
        <v>9.118666610850298</v>
      </c>
      <c r="G19" s="137">
        <f>G17*100/O17</f>
        <v>9.118666610850298</v>
      </c>
      <c r="H19" s="137">
        <f>H17*100/O17</f>
        <v>9.118666610850298</v>
      </c>
      <c r="I19" s="137">
        <f>I17*100/O17</f>
        <v>9.118666610850298</v>
      </c>
      <c r="J19" s="137">
        <f>J17*100/O17</f>
        <v>9.118666610850298</v>
      </c>
      <c r="K19" s="137">
        <f>K17*100/O17</f>
        <v>9.118666610850298</v>
      </c>
      <c r="L19" s="138">
        <f>L17*100/O17</f>
        <v>9.118666610850298</v>
      </c>
      <c r="M19" s="138">
        <f>M17*100/O17</f>
        <v>9.118666610850298</v>
      </c>
      <c r="N19" s="138">
        <f>N17*100/O17</f>
        <v>5.402986807365116</v>
      </c>
      <c r="O19" s="146">
        <f>SUM(C19:N19)</f>
        <v>100.00000000000003</v>
      </c>
      <c r="P19" s="120"/>
      <c r="Q19" s="115"/>
    </row>
    <row r="20" spans="1:16" s="102" customFormat="1" ht="12" customHeight="1" thickBot="1">
      <c r="A20" s="126" t="s">
        <v>268</v>
      </c>
      <c r="B20" s="127"/>
      <c r="C20" s="137">
        <f>C19</f>
        <v>5.9752745746831915</v>
      </c>
      <c r="D20" s="137">
        <f aca="true" t="shared" si="4" ref="D20:N20">C20+D19</f>
        <v>13.81147744025786</v>
      </c>
      <c r="E20" s="137">
        <f t="shared" si="4"/>
        <v>21.64768030583253</v>
      </c>
      <c r="F20" s="137">
        <f t="shared" si="4"/>
        <v>30.766346916682828</v>
      </c>
      <c r="G20" s="137">
        <f t="shared" si="4"/>
        <v>39.885013527533125</v>
      </c>
      <c r="H20" s="137">
        <f t="shared" si="4"/>
        <v>49.00368013838342</v>
      </c>
      <c r="I20" s="137">
        <f t="shared" si="4"/>
        <v>58.12234674923372</v>
      </c>
      <c r="J20" s="137">
        <f t="shared" si="4"/>
        <v>67.24101336008403</v>
      </c>
      <c r="K20" s="137">
        <f t="shared" si="4"/>
        <v>76.35967997093432</v>
      </c>
      <c r="L20" s="138">
        <f t="shared" si="4"/>
        <v>85.47834658178462</v>
      </c>
      <c r="M20" s="138">
        <f t="shared" si="4"/>
        <v>94.59701319263492</v>
      </c>
      <c r="N20" s="138">
        <f t="shared" si="4"/>
        <v>100.00000000000003</v>
      </c>
      <c r="O20" s="146"/>
      <c r="P20" s="120"/>
    </row>
    <row r="21" spans="1:16" ht="12.75">
      <c r="A21" s="121"/>
      <c r="B21" s="106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3"/>
      <c r="P21" s="123"/>
    </row>
    <row r="22" ht="12.75">
      <c r="P22" s="115"/>
    </row>
    <row r="23" spans="3:14" ht="12.75"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</row>
  </sheetData>
  <sheetProtection/>
  <mergeCells count="6">
    <mergeCell ref="A1:O1"/>
    <mergeCell ref="A2:O2"/>
    <mergeCell ref="F3:G3"/>
    <mergeCell ref="A4:D4"/>
    <mergeCell ref="C6:N6"/>
    <mergeCell ref="A3:D3"/>
  </mergeCells>
  <printOptions verticalCentered="1"/>
  <pageMargins left="0" right="0" top="0" bottom="0" header="0" footer="0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Ruy Ataide</dc:creator>
  <cp:keywords/>
  <dc:description/>
  <cp:lastModifiedBy>Carlos Domingos Cunha</cp:lastModifiedBy>
  <cp:lastPrinted>2014-09-11T18:48:22Z</cp:lastPrinted>
  <dcterms:created xsi:type="dcterms:W3CDTF">2001-04-02T20:19:35Z</dcterms:created>
  <dcterms:modified xsi:type="dcterms:W3CDTF">2014-09-15T19:36:22Z</dcterms:modified>
  <cp:category/>
  <cp:version/>
  <cp:contentType/>
  <cp:contentStatus/>
</cp:coreProperties>
</file>