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735" tabRatio="633" activeTab="0"/>
  </bookViews>
  <sheets>
    <sheet name="POSTO DA GUARDA MAROBA" sheetId="1" r:id="rId1"/>
    <sheet name="Cronograma" sheetId="2" r:id="rId2"/>
    <sheet name="Memória de cálculo" sheetId="3" r:id="rId3"/>
    <sheet name="COMP 01" sheetId="4" r:id="rId4"/>
    <sheet name="COMP 03" sheetId="5" r:id="rId5"/>
    <sheet name="COMP 04" sheetId="6" r:id="rId6"/>
    <sheet name="COMP 05" sheetId="7" r:id="rId7"/>
    <sheet name="COMP 06" sheetId="8" r:id="rId8"/>
  </sheets>
  <externalReferences>
    <externalReference r:id="rId11"/>
  </externalReferences>
  <definedNames>
    <definedName name="_xlnm.Print_Area" localSheetId="1">'Cronograma'!$A$1:$I$32</definedName>
    <definedName name="_xlnm.Print_Area" localSheetId="0">'POSTO DA GUARDA MAROBA'!$A$1:$K$255</definedName>
    <definedName name="_xlnm.Print_Titles" localSheetId="0">'POSTO DA GUARDA MAROBA'!$2:$7</definedName>
  </definedNames>
  <calcPr fullCalcOnLoad="1"/>
</workbook>
</file>

<file path=xl/comments4.xml><?xml version="1.0" encoding="utf-8"?>
<comments xmlns="http://schemas.openxmlformats.org/spreadsheetml/2006/main">
  <authors>
    <author>Marcelo Henrique</author>
  </authors>
  <commentList>
    <comment ref="A24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Marcelo Henrique</author>
  </authors>
  <commentList>
    <comment ref="A34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Marcelo Henrique</author>
  </authors>
  <commentList>
    <comment ref="A25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Marcelo Henrique</author>
  </authors>
  <commentList>
    <comment ref="A25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Marcelo Henrique</author>
  </authors>
  <commentList>
    <comment ref="A24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<sst xmlns="http://schemas.openxmlformats.org/spreadsheetml/2006/main" count="1442" uniqueCount="820">
  <si>
    <t>SERVIÇOS PRELIMINARES</t>
  </si>
  <si>
    <t>2.1</t>
  </si>
  <si>
    <t>3.1</t>
  </si>
  <si>
    <t>4.1</t>
  </si>
  <si>
    <t>5.1</t>
  </si>
  <si>
    <t>6.1</t>
  </si>
  <si>
    <t>7.1</t>
  </si>
  <si>
    <t>8.1</t>
  </si>
  <si>
    <t>10.1</t>
  </si>
  <si>
    <t>11.1</t>
  </si>
  <si>
    <t>12.2</t>
  </si>
  <si>
    <t>13.1</t>
  </si>
  <si>
    <t>14.1</t>
  </si>
  <si>
    <t>16.1</t>
  </si>
  <si>
    <t>PISOS INTERNOS E EXTERNOS</t>
  </si>
  <si>
    <t>Tomada 2 polos mais terra 20A/250V, com placa 4x2"</t>
  </si>
  <si>
    <t>PMPK</t>
  </si>
  <si>
    <t>TOTAL</t>
  </si>
  <si>
    <t>ITEM</t>
  </si>
  <si>
    <t xml:space="preserve">               P L A N I L H A      D E     P R E Ç O S</t>
  </si>
  <si>
    <t>QUANT.</t>
  </si>
  <si>
    <t>m</t>
  </si>
  <si>
    <t>INSTALAÇÕES HIDRO-SANITÁRIAS</t>
  </si>
  <si>
    <t>2.2</t>
  </si>
  <si>
    <t>13.2</t>
  </si>
  <si>
    <t>13.3</t>
  </si>
  <si>
    <t>14.2</t>
  </si>
  <si>
    <t>12.1</t>
  </si>
  <si>
    <t>15.1</t>
  </si>
  <si>
    <t>Prumada de água fria</t>
  </si>
  <si>
    <t>Ponto de água fria (lavatório, tanque, pia de cozinha, etc...)</t>
  </si>
  <si>
    <t>Ponto com registro de pressão (chuveiro, caixa de descarga, etc...)</t>
  </si>
  <si>
    <t>Ponto para esgoto secundário (pia, lavatório, mictório, tanque, bidê, etc...)</t>
  </si>
  <si>
    <t>Ponto para caixa sifonada, inclusive caixa sifonada pvc 150x150x50mm com grelha em pvc</t>
  </si>
  <si>
    <t>Ponto padrão de tomada para chuveiro elétrico - considerando eletroduto PVC rígido de 3/4" inclusive conexões (9.0m), fio isolado PVC de 6.0mm2 (32.5m) e caixa estampada 4x2" (1 und)</t>
  </si>
  <si>
    <t>und</t>
  </si>
  <si>
    <t>PAISAGISMO</t>
  </si>
  <si>
    <t>1.2</t>
  </si>
  <si>
    <t>Espelho para banheiros espessura 4 mm, incluindo chapa compensada 10 mm, moldura de alumínio em perfil L 3/4", fixado com parafusos cromados</t>
  </si>
  <si>
    <t>6.3</t>
  </si>
  <si>
    <t>Ponto padrão de tomada para ar refrigerado - considerando eletroduto PVC rígido de 3/4" inclusive conexões (6.0m), fio isolado PVC de 4.0mm2 (21.6m) e caixa estampada 4x2" (1 und)</t>
  </si>
  <si>
    <t>INSTALAÇÃO DE TELEFONE</t>
  </si>
  <si>
    <t>Tomada para telefone com conector RJ 11</t>
  </si>
  <si>
    <t>INSTALAÇÃO DE INCÊNDIO</t>
  </si>
  <si>
    <t>INSTALAÇÕES ELÉTRICAS</t>
  </si>
  <si>
    <t>APARELHOS ELÉTRICOS</t>
  </si>
  <si>
    <t>14</t>
  </si>
  <si>
    <t>14.3</t>
  </si>
  <si>
    <t>14.4</t>
  </si>
  <si>
    <t>16.2</t>
  </si>
  <si>
    <t>17.1</t>
  </si>
  <si>
    <t>17.2</t>
  </si>
  <si>
    <t>18.1</t>
  </si>
  <si>
    <t>18.2</t>
  </si>
  <si>
    <t>19.1</t>
  </si>
  <si>
    <t>20.1</t>
  </si>
  <si>
    <t>Fossa séptica de anéis pré-moldados de concreto, diâmetro 1.20 m, altura útil de 1.70m, completa, incluindo tampa c/visita de 60cm, concreto p/fundo esp.10 cm, e tubo para ligação ao filtro</t>
  </si>
  <si>
    <t>Filtro anaeróbio de anéis pré-moldados de concreto, diâmetro de 1.20m, altura útil de 1.80m, completo, incl. tampa c/visita de 60 cm, concreto p/fundo esp.10cm e tubulação de saída de esgoto</t>
  </si>
  <si>
    <t>17.3</t>
  </si>
  <si>
    <t>m²</t>
  </si>
  <si>
    <t>Demolição de piso cimentado inclusive lastro de concreto</t>
  </si>
  <si>
    <t>1.1.1</t>
  </si>
  <si>
    <t>1.1.2</t>
  </si>
  <si>
    <t>m³</t>
  </si>
  <si>
    <t>LIMPEZA DO TERRENO</t>
  </si>
  <si>
    <t>Raspagem e limpeza do terreno (manual)</t>
  </si>
  <si>
    <t>INSTALAÇÃO DO CANTEIRO DE OBRAS</t>
  </si>
  <si>
    <t>1</t>
  </si>
  <si>
    <t>1.1</t>
  </si>
  <si>
    <t>DEMOLIÇÃO E RETIRADAS</t>
  </si>
  <si>
    <t>4.1.1</t>
  </si>
  <si>
    <t>13.1.1</t>
  </si>
  <si>
    <t>13.1.2</t>
  </si>
  <si>
    <t>pt</t>
  </si>
  <si>
    <t>INSTALAÇÃO DE CANTEIRO DE OBRAS</t>
  </si>
  <si>
    <t>2</t>
  </si>
  <si>
    <t>1.2.1</t>
  </si>
  <si>
    <t>2.1.1</t>
  </si>
  <si>
    <t>Placa de obra nas dimensões de 2.0 x 4.0 m</t>
  </si>
  <si>
    <t>Locação de andaime metálico para fachada - tipo torre (aluguel mensal)</t>
  </si>
  <si>
    <t>2.2.1</t>
  </si>
  <si>
    <t>2.1.2</t>
  </si>
  <si>
    <t>2.1.3</t>
  </si>
  <si>
    <t>Barracão para almoxarifado área de 10.90m2, de chapa de compensado de 12mm e pontalete 8x8cm, piso cimentado e cobertura de telhas de fibrocimento de 6mm, incl. ponto de luz</t>
  </si>
  <si>
    <t>Barracão para escritório com sanitário área de 14.50 m2, de chapa de compens. 12mm e pontalete 8x8cm, piso cimentado e cobertura de telha de fibroc. 6mm, incl. ponto de luz e cx. de inspeção</t>
  </si>
  <si>
    <t>Reservatório fibra de vidro de 500L, incl. suporte em madeira 7x12cm e 5x7cm, elevado de 4m</t>
  </si>
  <si>
    <t>Rede de água com padrão de entrada d'água diâm. 3/4", conf. espec. CESAN, incl. tubos e conexões para alimentação, distribuição, extravasor e limpeza, cons. o padrão a 25m</t>
  </si>
  <si>
    <t>2.2.2</t>
  </si>
  <si>
    <t>2.2.3</t>
  </si>
  <si>
    <t>2.2.4</t>
  </si>
  <si>
    <t>Rede de luz, incl. padrão entrada de energia trifás., cabo de ligação até barracões, quadro de distrib., disj. e chave de força (quando necessário), cons. 20m entre padrão entrada e QDG</t>
  </si>
  <si>
    <t>2.2.5</t>
  </si>
  <si>
    <t>MOVIMENTAÇÃO DE TERRA</t>
  </si>
  <si>
    <t>REATERRO E COMPACTAÇÃO</t>
  </si>
  <si>
    <t>3</t>
  </si>
  <si>
    <t>INFRA-ESTRUTURA</t>
  </si>
  <si>
    <t>ESTRUTURAS</t>
  </si>
  <si>
    <t>PAREDES E PAINÉIS</t>
  </si>
  <si>
    <t>Alvenaria de blocos cerâmicos 10 furos 10x20x20cm, assentados c/argamassa de cimento, cal hidratada CH1 e areia traço 1:0,5:8, esp. das juntas 12mm e esp. das paredes s/revestimento, 10cm</t>
  </si>
  <si>
    <t>5.1.1</t>
  </si>
  <si>
    <t>6.1.1</t>
  </si>
  <si>
    <t>6.1.2</t>
  </si>
  <si>
    <t>6.1.3</t>
  </si>
  <si>
    <t>7</t>
  </si>
  <si>
    <t>7.1.1</t>
  </si>
  <si>
    <t>VIDROS PARA ESQUADRIAS</t>
  </si>
  <si>
    <t>8.1.1</t>
  </si>
  <si>
    <t>8.1.2</t>
  </si>
  <si>
    <t>ESPELHOS</t>
  </si>
  <si>
    <t>IMPERMEABILIZAÇÃO</t>
  </si>
  <si>
    <t>9</t>
  </si>
  <si>
    <t>TETOS E FORROS</t>
  </si>
  <si>
    <t>REBAIXAMENTOS</t>
  </si>
  <si>
    <t>Forro de gesso acabamento tipo liso</t>
  </si>
  <si>
    <t>REVESTIMENTO DE PAREDES</t>
  </si>
  <si>
    <t>10.1.1</t>
  </si>
  <si>
    <t>ACABAMENTOS</t>
  </si>
  <si>
    <t>Chapisco de argamassa de cimento e areia média ou grossa lavada no traço 1:3, espessura 5mm, com utilização de impermeabilizante</t>
  </si>
  <si>
    <t>Emboço de argamassa de cimento, cal hidratada CH1 e areia média ou grossa lavada no traço 1:0.5:6, espessura 20 mm</t>
  </si>
  <si>
    <t>Reboco de argamassa de cimento, cal hidratada CH1 e areia média ou grossa lavada no traço 1:0.5:6, espessura 5mm</t>
  </si>
  <si>
    <t>12</t>
  </si>
  <si>
    <t>LASTRO DE CONTRAPISO</t>
  </si>
  <si>
    <t>12.1.1</t>
  </si>
  <si>
    <t>Regularização de base p/ revestimento cerâmico, com argamassa de cimento e areia no traço 1:5, espessura 3cm</t>
  </si>
  <si>
    <t>12.1.2</t>
  </si>
  <si>
    <t>Lastro regularizado de concreto não estrutural, espessura de 8 cm</t>
  </si>
  <si>
    <t>12.2.1</t>
  </si>
  <si>
    <t>Piso cerâmico 45x45cm, PEI 5, Cargo Plus Gray, marcas de referência Eliane, Cecrisa ou Portobello, assentado com argamassa de cimento colante, inclusive rejuntamento</t>
  </si>
  <si>
    <t>DEGRAUS, RODAPÉS, SOLEIRAS E PEITORIS</t>
  </si>
  <si>
    <t>12.2.2</t>
  </si>
  <si>
    <t>Soleira de granito esp. 2 cm e largura de 15 cm</t>
  </si>
  <si>
    <t>Soleira de granito cinza, espessura 3 cm e largura de 3 cm, conforme detalhe em projeto</t>
  </si>
  <si>
    <t>Rodapé de mármore ou granito, assentado com argamassa de cimento, cal hidratada CH1 e areia no traço 1:0,5:8, incl. rejuntamento com cimento branco, h=7cm</t>
  </si>
  <si>
    <t xml:space="preserve">SUMIDOUROS, FOSSAS SÉPTICAS, E FILTROS ANAERÓBICOS </t>
  </si>
  <si>
    <t xml:space="preserve">ENTRADA DE ÁGUA </t>
  </si>
  <si>
    <t>PRUMADAS HIDRO-SANITÁRIAS</t>
  </si>
  <si>
    <t>Barrilete, inclusive tubulação, conexões e registros da limpeza, extravasor e suspiro</t>
  </si>
  <si>
    <t>Prumada de água pluvial</t>
  </si>
  <si>
    <t>Tubo de queda, inclusive ventilação, diam 75mm</t>
  </si>
  <si>
    <t>PONTOS HIDRO-SANITÁRIOS</t>
  </si>
  <si>
    <t>13.3.1</t>
  </si>
  <si>
    <t>13.3.2</t>
  </si>
  <si>
    <t>13.3.3</t>
  </si>
  <si>
    <t>13.3.4</t>
  </si>
  <si>
    <t xml:space="preserve">Ponto de torneira de jardim </t>
  </si>
  <si>
    <t>Ponto para ralo sifonado, inclusive ralo sifonado 100 x 40 mm c/ grelha em pvc</t>
  </si>
  <si>
    <t>TUBULAÇÃO DE LIGAÇÃO DE CAIXAS</t>
  </si>
  <si>
    <t>Tubo PVC rígido para esgoto no diâmetro de 100mm incluindo escavação e aterro com areia</t>
  </si>
  <si>
    <t>REDE DE ÁGUA FRIA - TUBOS SOLDÁVEIS DE PVC</t>
  </si>
  <si>
    <t>Tubo de PVC rígido soldável marrom, diâm. 25mm (3/4"), inclusive conexões</t>
  </si>
  <si>
    <t>REDE DE ESGOTO - TUBOS DE PVC</t>
  </si>
  <si>
    <t>Tubo de PVC rígido soldável branco, para esgoto, diâmetro 50mm (2"), inclusive conexões</t>
  </si>
  <si>
    <t>Tubo de PVC rígido soldável branco, para esgoto, diâmetro 75mm (3"), inclusive conexões</t>
  </si>
  <si>
    <t>CAIXAS DE PVC/ EQUIPAMENTOS</t>
  </si>
  <si>
    <t xml:space="preserve">OUTRAS INSTALAÇÕES </t>
  </si>
  <si>
    <t>INSTALAÇÃO DE GÁS</t>
  </si>
  <si>
    <t>Extintor de incêndio de água pressurizada 10L, inclusive suporte para fixação e EXCLUSIVE placa sinalizadora em PVC Fotoluminescente</t>
  </si>
  <si>
    <t>LOUÇAS</t>
  </si>
  <si>
    <t>Saboneteira de louça branca, 15x15cm, marcas de referência Deca, Celite ou Ideal Standard.</t>
  </si>
  <si>
    <t>Papeleira de louça branca, 15x15cm, marcas de referência Deca, Celite ou Ideal Standard.</t>
  </si>
  <si>
    <t>TORNEIRAS, REGISTROS, VÁLVULAS E METAIS</t>
  </si>
  <si>
    <t>Torneira pressão cromada diâm. 1/2" para lavatório, referência Fabrimar, Deca ou Docol</t>
  </si>
  <si>
    <t>Torneira para jardim de 3/4" marcas de referência Fabrimar, Deca ou Docol</t>
  </si>
  <si>
    <t>OUTROS APARELHOS</t>
  </si>
  <si>
    <t>Bacia sanitária de louça branca, com caixa acoplada duplo acionamento, marca de ref. Deca Linha Ravena ou equivalente, inclusive assento plástico e acessórios de fixação</t>
  </si>
  <si>
    <t>Adaptador de PVC com flanges livres para caixa d'água de 25mmx3/4"</t>
  </si>
  <si>
    <t>Reservatório de fibra de vidro 1000l, inclusive peça de madeira 6x16cm para apoio, exclusive flanges e torneira de bóia</t>
  </si>
  <si>
    <t>PINTURA</t>
  </si>
  <si>
    <t>SOBRE PAREDES E FORROS</t>
  </si>
  <si>
    <t>Emassamento de paredes e forros, com duas demãos de massa à base de PVA, marcas de referência Suvinil, Coral ou Metalatex</t>
  </si>
  <si>
    <t>Emassamento de paredes e forros, com duas demãos de massa acrílica, marcas de referência Suvinil, Coral ou Metalatex</t>
  </si>
  <si>
    <t>Pintura com tinta látex PVA, marcas de referência Suvinil, Coral ou Metalatex, inclusive selador em paredes e forros, a três demãos</t>
  </si>
  <si>
    <t>SERVIÇOS COMPLEMENTARES EXTERNOS</t>
  </si>
  <si>
    <t>MUROS E FECHAMENTOS</t>
  </si>
  <si>
    <t>Muro de alvenaria de blocos cerâmicos 10x20x20cm, c/ pilares a cada 2 m, esp. 10cm e h=2.5m, revestido com chapisco, reboco e pintura acrílica a 2 demãos, incl. pilares, cintas e sapatas, empregando argila cimento cal e areia</t>
  </si>
  <si>
    <t>PAVIMENTAÇÃO</t>
  </si>
  <si>
    <t>Meio-fio de concreto pré-moldado com dimensões de 15x12x30x100 cm , rejuntados com argamassa de cimento e areia no traço 1:3</t>
  </si>
  <si>
    <t>Fornecimento e plantio de grama em placas tipo esmeralda, inclusive fornecimento de terra vegetal</t>
  </si>
  <si>
    <t>Fornecimento, dobragem e colocação em fôrma, de arm. CA-50 A média, diâ. de 6.3 a 10.0 mm</t>
  </si>
  <si>
    <t>kg</t>
  </si>
  <si>
    <t>6.3.1</t>
  </si>
  <si>
    <t>6.3.2</t>
  </si>
  <si>
    <t>SOBRE PISOS</t>
  </si>
  <si>
    <t>Pintura à base de epoxi, marcas de referência Suvinil, Coral ou Metalatex, em faixas com largura de 8 cm, para demarcação de quadra de esportes</t>
  </si>
  <si>
    <t>Retirada de caixas/quadros elétricos</t>
  </si>
  <si>
    <t>ABERTURA E FECHAMENTO DE RASGOS</t>
  </si>
  <si>
    <t>Abertura e fechamento de rasgos em alvenaria, para passagem de tubulações, diâm. 1/2" a 1"</t>
  </si>
  <si>
    <t>PADRÃO DE ENTRADA</t>
  </si>
  <si>
    <t>QUADRO DE DISTRIBUIÇÃO</t>
  </si>
  <si>
    <t>Quadro de distribuição de energia, de embutir, com 12 divisões modulares com barramento</t>
  </si>
  <si>
    <t xml:space="preserve">CAIXAS DE PASSAGEM
</t>
  </si>
  <si>
    <t>Caixa de aterramento de concreto simples, nas dimensões de 30x30x25cm, com revest. int. em chapisco e reboco, tampa de concreto esp.5cm e lastro de brita esp. 5 cm, incl. haste 5/8"x2400mm</t>
  </si>
  <si>
    <t>Conjunto caixa termoplástica para Medidor Padrão ESCELSA Monofáfico com tampa transparente em policarbonato P-980-009 inclusive caixa para disjuntor monof P-940-003 Padrão Escelsa</t>
  </si>
  <si>
    <t>COMPOSIÇÕES INTERMEDIÁRIAS P/ ELETRICA</t>
  </si>
  <si>
    <t>Fita isolante em rolo de 19mm x 20 m, número 33 Scoth ou equivalente</t>
  </si>
  <si>
    <t>CHAVES E DISJUNTORES</t>
  </si>
  <si>
    <t>Caixa de passagem de alvenaria de blocos de concreto 9x19x39cm, dimensões de 50x50x50cm, c/ revestimento interno em chapisco e reboco, tampa de concreto esp.5cm e lastro de brita 5 cm</t>
  </si>
  <si>
    <t>SERVIÇOS DIVERSOS</t>
  </si>
  <si>
    <t>Haste de terra tipo COPPERWELD - 5/8" x 2.40m</t>
  </si>
  <si>
    <t>PADRAO DE ENTRADA DE ENERGIA - NORTEC-01 - ESCELSA</t>
  </si>
  <si>
    <t xml:space="preserve">PONTOS ELETRICOS REVISAO NR-10
</t>
  </si>
  <si>
    <t>Ponto padrão de luz no teto - considerando eletroduto PVC rígido de 3/4" inclusive conexões (4.5m), fio isolado PVC de 2.5mm2 (16.2m) e caixa estampada 4x4" (1 und)</t>
  </si>
  <si>
    <t>Ponto padrão de tomada 2 pólos mais terra - considerando eletroduto PVC rígido de 3/4" inclusive conexões (5.0m), fio isolado PVC de 2.5mm2 (16.5m) e caixa estampada 4x2" (1 und)</t>
  </si>
  <si>
    <t>Ponto padrão de interruptor de 1 tecla paralelo - considerando eletroduto PVC rígido de 3/4" inclusive conexões (8.5m), fio isolado PVC de 2.5mm2 (28.8m) e caixa estampada 4x2" (1 und)</t>
  </si>
  <si>
    <t>Ponto de antena de TV - considerando eletroduto PVC rígido de 3/4" inclusive conexões (3.0m), cabo coaxial 67 Ohms (4.5m) e caixa estampada 4x2" (1 und)</t>
  </si>
  <si>
    <t>TERMINAIS, CONECTORES E ABRAÇADEIRAS</t>
  </si>
  <si>
    <t>Terminal para ligação de cabo a barra de 16.0 mm2</t>
  </si>
  <si>
    <t>Terminal para ligação de cabo a barra de 10.0 mm2</t>
  </si>
  <si>
    <t>Terminal para ligação de cabo a barra de 6.0 mm2</t>
  </si>
  <si>
    <t>Caixa de telefone em chapa de aço padrão TELEBRAS do tipo CIE-2 200x200x120mm</t>
  </si>
  <si>
    <t>LUMINÁRIAS</t>
  </si>
  <si>
    <t>Luminária p/ duas lâmpadas fluorescentes 40W, completa, c/ reator duplo-127V partida rápida e alto fator de potência, soquete antivibratório e lâmpada fluorescente 40W-127V</t>
  </si>
  <si>
    <t>Plafonier com globo leitoso e lâmpada incandescente de 60W</t>
  </si>
  <si>
    <t xml:space="preserve">INTERRUPTORES E TOMADAS
</t>
  </si>
  <si>
    <t>Tomada padrão brasileiro linha branca, NBR 14136 2 polos 10A/250V, com placa 4x2"</t>
  </si>
  <si>
    <t>Interruptor de uma tecla simples 10A/250V, com placa 4x2"</t>
  </si>
  <si>
    <t>Interruptor de uma tecla simples 10A/250V e uma tomada 2 polos 10A/250V, padrão brasileiro, NBR 14136, linha branca, com placa 4x2"</t>
  </si>
  <si>
    <t>Chuveiro elétrico tipo ducha Lorenzet ou Corona</t>
  </si>
  <si>
    <t>Ar-condicionado 12000 Btus 110V, modelo janela ou spliger tempera frio, compressor rotativo com funções de refrigeração/ventilação, contendo cabo de 6,00mm² e eletrodutos 3/4 PVC rígido</t>
  </si>
  <si>
    <t>Retirada de pontos elétricos (luminárias, interruptores e tomadas)</t>
  </si>
  <si>
    <t>TRATAMENTO, CONSERVAÇÃO E LIMPEZA</t>
  </si>
  <si>
    <t>Limpeza geral da obra</t>
  </si>
  <si>
    <t>SERVIÇOS COMPLEMENTARES INTERNOS</t>
  </si>
  <si>
    <t>DIVERSOS INTERNOS</t>
  </si>
  <si>
    <t>Alçapão de visita ao barrilete de chapa de madeira de lei medindo 60x60cm, inclusive dobradiça, marco, alizar e fechadura, emassamento e pintura</t>
  </si>
  <si>
    <t>Ponto padrão interruptor 1 tecla simples e 1 tomada dois pólos mais terra 10A/250V - cons. Elet. PVC ríg. de 3/4" incl. conexões (4.5m), fio isolado PVC de 2.5mm2 (19.4m) e cx estamp. 4x2"</t>
  </si>
  <si>
    <t>Mureta de medição util. arg. cimento, cal e areia, dim. 1100x2000x200mm, c/ pilares e cintas, reves. c/ chapisco e reboco, incl. pintura emassamento e pintura acrílica a três demãos, exclusive cobertura</t>
  </si>
  <si>
    <t>14.1.1</t>
  </si>
  <si>
    <t>14.2.1</t>
  </si>
  <si>
    <t>14.3.1</t>
  </si>
  <si>
    <t>14.4.1</t>
  </si>
  <si>
    <t>14.5</t>
  </si>
  <si>
    <t>14.5.1</t>
  </si>
  <si>
    <t>14.6</t>
  </si>
  <si>
    <t>14.6.1</t>
  </si>
  <si>
    <t>14.7</t>
  </si>
  <si>
    <t>14.7.1</t>
  </si>
  <si>
    <t>14.7.2</t>
  </si>
  <si>
    <t>14.8</t>
  </si>
  <si>
    <t>14.8.1</t>
  </si>
  <si>
    <t>15.1.1</t>
  </si>
  <si>
    <t>16.1.1</t>
  </si>
  <si>
    <t>16.1.2</t>
  </si>
  <si>
    <t>16.2.1</t>
  </si>
  <si>
    <t>17.1.1</t>
  </si>
  <si>
    <t>17.1.2</t>
  </si>
  <si>
    <t>17.3.1</t>
  </si>
  <si>
    <t>17.3.2</t>
  </si>
  <si>
    <t>18.1.1</t>
  </si>
  <si>
    <t>18.1.2</t>
  </si>
  <si>
    <t>18.1.3</t>
  </si>
  <si>
    <t>19.1.1</t>
  </si>
  <si>
    <t>Ponto p/ rede lógica em cx de pvc amarela 4x2", c/ conector RJ-45 fêmea e cx 4x4" PVC amarela</t>
  </si>
  <si>
    <t>Bancada de granito com espessura de 2 cm</t>
  </si>
  <si>
    <t>Cuba louça branca oval, de embutir, Mod. L37, marca de ref. Deca incl. válvula e sifão, exclusive torneira.</t>
  </si>
  <si>
    <t>11.1.1</t>
  </si>
  <si>
    <t>PREFEITURA MUNICIPAL DE PRESIDENTE KENNEDY</t>
  </si>
  <si>
    <t>CRONOGRAMA FÍSICO-FINANCEIRO</t>
  </si>
  <si>
    <t xml:space="preserve">VALOR : </t>
  </si>
  <si>
    <t>DISCRIMINAÇÃO</t>
  </si>
  <si>
    <t>Total</t>
  </si>
  <si>
    <t>1o. MÊS</t>
  </si>
  <si>
    <t>2o. MÊS</t>
  </si>
  <si>
    <t>3o. MÊS</t>
  </si>
  <si>
    <t>4o. MÊS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</si>
  <si>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</si>
  <si>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</si>
  <si>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</si>
  <si>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</si>
  <si>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</si>
  <si>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</si>
  <si>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</si>
  <si>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</si>
  <si>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</si>
  <si>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</si>
  <si>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</si>
  <si>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</si>
  <si>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15</t>
  </si>
  <si>
    <t>16</t>
  </si>
  <si>
    <t>17</t>
  </si>
  <si>
    <t>18</t>
  </si>
  <si>
    <t>19</t>
  </si>
  <si>
    <t>20</t>
  </si>
  <si>
    <t>VALOR DO MÊS (PROGRAMAÇÃO DE MEDIÇÕES)</t>
  </si>
  <si>
    <t xml:space="preserve">VALOR ACUMULADO </t>
  </si>
  <si>
    <t>PERCENTUAL DO MÊS</t>
  </si>
  <si>
    <t>PERCENTUAL ACUMULADO</t>
  </si>
  <si>
    <t>CÓDIGO</t>
  </si>
  <si>
    <t>010201</t>
  </si>
  <si>
    <t>IOPES</t>
  </si>
  <si>
    <t>Demolição de alvenaria</t>
  </si>
  <si>
    <t>010209</t>
  </si>
  <si>
    <t>010402</t>
  </si>
  <si>
    <t>TAPUMES, BARRACÕES E COBERTURAS</t>
  </si>
  <si>
    <t>020305</t>
  </si>
  <si>
    <t>020346</t>
  </si>
  <si>
    <t>020701</t>
  </si>
  <si>
    <t>020702</t>
  </si>
  <si>
    <t>020710</t>
  </si>
  <si>
    <t>020712</t>
  </si>
  <si>
    <t>020713</t>
  </si>
  <si>
    <t>PREÇO UNITÁRIO</t>
  </si>
  <si>
    <t>UND</t>
  </si>
  <si>
    <t>030208</t>
  </si>
  <si>
    <t>040243</t>
  </si>
  <si>
    <t>PLACAS E PAINÉIS DIVISÓRIOS</t>
  </si>
  <si>
    <t xml:space="preserve">Divisória de granito cinza andorinha com 3 cm de espessura, fixada com cantoneira de ferro cromado </t>
  </si>
  <si>
    <t>050206</t>
  </si>
  <si>
    <t>5.2</t>
  </si>
  <si>
    <t>ALVENARIA DE VEDAÇÃO EMPREGANDO ARGAMASSA DE CIMENTO, CAL E AREIA</t>
  </si>
  <si>
    <t>5.2.1</t>
  </si>
  <si>
    <t>050606</t>
  </si>
  <si>
    <t>060101</t>
  </si>
  <si>
    <t>060103</t>
  </si>
  <si>
    <t>VIDROS E ESPELHOS</t>
  </si>
  <si>
    <t>SINAPI</t>
  </si>
  <si>
    <t>080201</t>
  </si>
  <si>
    <t>COBERTURA</t>
  </si>
  <si>
    <t>IMPERMEABILIZAÇÃO CALHAS, LAJES DESCOBERTAS, BALDRAMES, PAREDES E JARDINEIRAS</t>
  </si>
  <si>
    <t>100208</t>
  </si>
  <si>
    <t>110201</t>
  </si>
  <si>
    <t>LABOR UFES</t>
  </si>
  <si>
    <t>REVESTIMENTO EMPREGANDO ARGAMASSA DE CIMENTO, CAL E AREIA</t>
  </si>
  <si>
    <t xml:space="preserve">Peitoril de granito cinza polido, 15 cm, esp. 3cm </t>
  </si>
  <si>
    <t>14.4.2</t>
  </si>
  <si>
    <t>14.4.3</t>
  </si>
  <si>
    <t>14.4.4</t>
  </si>
  <si>
    <t>18.1.4</t>
  </si>
  <si>
    <t>Mictório de louça branca, marcas de referência Deca, Celite ou Ideal Standard, inclusive engates cromados</t>
  </si>
  <si>
    <t>BANCADAS</t>
  </si>
  <si>
    <t>Torneira para tanque, marcas de referência Fabrimar, Deca ou Docol.</t>
  </si>
  <si>
    <t>Tanque de aço inox nº 2, marcas de referência Fisher, Metalpress ou Mekal, inclusive válvula de metal e sifão</t>
  </si>
  <si>
    <t>Cabide simples de um gancho, linha Versailles, ref. 08, acabamento cromado, da Moldenox, Docol ou Deca</t>
  </si>
  <si>
    <t>Pintura com tinta acrílica, marcas de referência Suvinil, Coral ou Metalatex, inclusive selador acrílico, em paredes e forros, a três demãos</t>
  </si>
  <si>
    <t>21.1</t>
  </si>
  <si>
    <t>010271</t>
  </si>
  <si>
    <t>142201</t>
  </si>
  <si>
    <t>15.2</t>
  </si>
  <si>
    <t>15.2.1</t>
  </si>
  <si>
    <t>150122</t>
  </si>
  <si>
    <t>150306</t>
  </si>
  <si>
    <t>150610</t>
  </si>
  <si>
    <t>150616</t>
  </si>
  <si>
    <t>150626</t>
  </si>
  <si>
    <t>Padrão de entrada de energia elétrica, trifásico, entrada aérea, a 4 fios, carga instalada de 15001 até 26000W, instalada em muro</t>
  </si>
  <si>
    <t>Ponto de telefone, incluindo caixa 4"x4" PVC ref. Tegreflex ou equivalente, eletrodutos e fios</t>
  </si>
  <si>
    <t>INSTALAÇÃO DE REDE DE LÓGICA</t>
  </si>
  <si>
    <t>010240</t>
  </si>
  <si>
    <t>17.4</t>
  </si>
  <si>
    <t>17.4.1</t>
  </si>
  <si>
    <t>COMPOSIÇÕES INTERMEDIÁRIAS P/ ELÉTRICA</t>
  </si>
  <si>
    <t>REFERÊNCIA</t>
  </si>
  <si>
    <t>73838/001</t>
  </si>
  <si>
    <t>ESTRUTURA PARA TELHADO</t>
  </si>
  <si>
    <t>9.1</t>
  </si>
  <si>
    <t>9.1.1</t>
  </si>
  <si>
    <t>1.1.3</t>
  </si>
  <si>
    <t>1.1.4</t>
  </si>
  <si>
    <t>Lâmpada fluorescente tubular 40W</t>
  </si>
  <si>
    <t>046525</t>
  </si>
  <si>
    <t>Abrigo para 2 botijões de gás de 13kg, exclusive ligações, nas dimensões de 1,00 x 0,50 x 0,80m, em alvenaria de tijolos maciços (7 x 10 x 20cm), paredes de meia vez, revestidas com argamassa de cimento e saibro, no traço 1:6, piso com espessura de 10cm e cobertura com espessura de 6cm, ambas em concreto armado, fck=15MPa, com acabamento de cimentado, no traço 1:4, conforme projeto tipo nº 2001/EMOP</t>
  </si>
  <si>
    <t>EMOP</t>
  </si>
  <si>
    <t>15.001.0056-0</t>
  </si>
  <si>
    <t>GRADES E PORTÕES</t>
  </si>
  <si>
    <t>Plantio de arbusto, altura maior que 1,00m, em cavas de 80x80x80cm</t>
  </si>
  <si>
    <t>73967/001</t>
  </si>
  <si>
    <t>Fornecimento e instalação de porta para divisória de 80 X 210 cm incluindo dobradiças e fechadura interna</t>
  </si>
  <si>
    <t>050203</t>
  </si>
  <si>
    <t>Piso cimentado liso com 1.5 cm de espessura, de argamassa de cimento e areia no traço 1:3 e juntas plásticas em quadros de 1 m</t>
  </si>
  <si>
    <t>Retirada de marco de madeira</t>
  </si>
  <si>
    <t>010327</t>
  </si>
  <si>
    <t>1.1.5</t>
  </si>
  <si>
    <t>22</t>
  </si>
  <si>
    <t>TÓTEM</t>
  </si>
  <si>
    <t>Escavação manual em material de 1a. categoria, até 1.50 m de profundidade</t>
  </si>
  <si>
    <t>Reaterro apiloado de cavas de fundação, em camadas de 20 cm</t>
  </si>
  <si>
    <t>030101</t>
  </si>
  <si>
    <t>030201</t>
  </si>
  <si>
    <t>040231</t>
  </si>
  <si>
    <t>Fornecimento, dobragem e colocação em fôrma, de armadura CA-50 A média, diâmetro de 6.3 a 10.0 mm</t>
  </si>
  <si>
    <t xml:space="preserve">Fôrma de tábua de madeira de 2.5 x 30.0 cm para fundações, levando-se em conta a utilização 5 vezes (incluido o material, corte, montagem, escoramento e desforma)
</t>
  </si>
  <si>
    <t>040206</t>
  </si>
  <si>
    <t>Chapisco com argamassa de cimento e areia média ou grossa lavada no traço 1:3, espessura 5 mm</t>
  </si>
  <si>
    <t>Reboco tipo paulista de argamassa de cimento, cal hidratada CH1 e areia média ou grossa lavada no traço
1:0.5:6, espessura 25 mm</t>
  </si>
  <si>
    <t>110101</t>
  </si>
  <si>
    <t>120303</t>
  </si>
  <si>
    <t>Pintura com tinta acrílica, marcas de referência Suvinil, Coral ou Metalatex, inclusive selador acrílico, em cobogós de concreto, a duas demãos</t>
  </si>
  <si>
    <t>190204</t>
  </si>
  <si>
    <t>Letra de aço escovado com 30cm de altura. FORNECIMENTO e COLOCAÇÃO</t>
  </si>
  <si>
    <t>05.055.0022-0</t>
  </si>
  <si>
    <t>DIVERSOS EXTERNOS</t>
  </si>
  <si>
    <t>200717</t>
  </si>
  <si>
    <t xml:space="preserve">Goivete nas dimensões 10x2 executado sobre alvenaria chapiscada e rebocada </t>
  </si>
  <si>
    <t>4.1.2</t>
  </si>
  <si>
    <t>Porta de vidro temperado, 0,90 x 2,10m, espessura 10mm, inclusive acessorios</t>
  </si>
  <si>
    <t>Estrutura de madeira de lei tipo Paraju ou equivalente para telhado de telha cerâmica tipo capa e canal, com pontaletes, terças, caibros e ripas, inclusive tratamento com cupinicida, exclusive telhas</t>
  </si>
  <si>
    <t>090101</t>
  </si>
  <si>
    <t>Vidro temperado incolor, espessura 10mm, fornecimento e instalação, inclusive massa para vedação</t>
  </si>
  <si>
    <t>72120</t>
  </si>
  <si>
    <t xml:space="preserve">Porta de alumínio anodizado ao natural, perfil série 25, em veneziana, exclusive fechadura. FORNECIMENTO e COLOCAÇÃO                                                          </t>
  </si>
  <si>
    <t>14.003.0225-0</t>
  </si>
  <si>
    <t>3.1.1</t>
  </si>
  <si>
    <t>5.1.2</t>
  </si>
  <si>
    <t>13.2.1</t>
  </si>
  <si>
    <t>22.1</t>
  </si>
  <si>
    <t>22.2</t>
  </si>
  <si>
    <t>22.3</t>
  </si>
  <si>
    <t>22.5</t>
  </si>
  <si>
    <t>22.6</t>
  </si>
  <si>
    <t>Espelho ou chapim em granito cinza corumbá, espessura de 3cm, largura de 20cm, polido e assente em parede em osso, com argamassa de cimento, areia e saibro no traço 1:2:2 e nata de cimento sobre chapisco de cimento e areia, no traço 1:3 (inclusive este) e rejuntamento pronto</t>
  </si>
  <si>
    <t>13.365.0087-0</t>
  </si>
  <si>
    <t>MURO FRONTAL</t>
  </si>
  <si>
    <t>23.4</t>
  </si>
  <si>
    <t>Alvenaria de blocos de concreto estrut. (19x19x39cm) cheios, c/ resist. mín. compr. 15MPa, assentados c/ arg. cimento e areia no traço 1:4, esp. juntas de 10mm e esp. da parede s/ revest. 19cm</t>
  </si>
  <si>
    <t>050502</t>
  </si>
  <si>
    <t>190106</t>
  </si>
  <si>
    <t>Pintura com tinta esmalte sintético, marca de referência, a duas demãos, inclusive fundo anticorrosivo a uma demão, em metal</t>
  </si>
  <si>
    <t>190417</t>
  </si>
  <si>
    <t>Aterro p/ regularização do terreno em argila, incl. adensamento manual e fornecimento do material</t>
  </si>
  <si>
    <t>FIOS E CABOS</t>
  </si>
  <si>
    <t xml:space="preserve">Fio ou cabo de cobre termoplástico, com isolamento para 750V, seção de 6.0 mm2 </t>
  </si>
  <si>
    <t>ELETRODUTOS E CONEXÕES</t>
  </si>
  <si>
    <t xml:space="preserve">Eletroduto flexível corrugado 1", marca de referência TIGRE </t>
  </si>
  <si>
    <t>Caixa de passagem de alvenaria de blocos cerâmicos 10 furos 10x20x20cm, dimensão de 30x30x30cm,com revestimento interno em chapisco e reboco, tampa de concreto esp. 5cm e lastro de brita 5cm</t>
  </si>
  <si>
    <t>151003</t>
  </si>
  <si>
    <t>POSTES</t>
  </si>
  <si>
    <t>Poste em tubo de ferro galvanizado diam 76mm, h=0,60m, incl. luminária tipo 1 pétala mod. BETA II c/1 lâmpada VS 400W, reator alto fator de potência 400W/220V , relé fotoelétrico, Tecnowatt ou equivalente e base.</t>
  </si>
  <si>
    <t>COMPOSIÇÃO DE PREÇO UNITÁRIO</t>
  </si>
  <si>
    <t>TABELA</t>
  </si>
  <si>
    <t>COMP-03 ITEM--</t>
  </si>
  <si>
    <t>DESCRIÇÃO</t>
  </si>
  <si>
    <t>UNIDADE</t>
  </si>
  <si>
    <t xml:space="preserve"> </t>
  </si>
  <si>
    <t>Insumo</t>
  </si>
  <si>
    <t>Unid.</t>
  </si>
  <si>
    <t>Código</t>
  </si>
  <si>
    <t>Pr. Prod.</t>
  </si>
  <si>
    <t>Pr. Impr.</t>
  </si>
  <si>
    <t>Pr. Unit.</t>
  </si>
  <si>
    <t>Sub-Total</t>
  </si>
  <si>
    <t>Coefic.</t>
  </si>
  <si>
    <t>C. Prod.</t>
  </si>
  <si>
    <t>Mão-de-Obra</t>
  </si>
  <si>
    <t>AJUDANTE</t>
  </si>
  <si>
    <t>H</t>
  </si>
  <si>
    <t>ELETRICISTA</t>
  </si>
  <si>
    <t>PEDREIRO</t>
  </si>
  <si>
    <t>SERVENTE</t>
  </si>
  <si>
    <t>AREIA LAVADA MEDIA</t>
  </si>
  <si>
    <t>CIMENTO CP III - 40</t>
  </si>
  <si>
    <t>BRITA 2</t>
  </si>
  <si>
    <t>POSTE EM TUBO DE FERRO GALV. DIAM.76MM, H=6.0M</t>
  </si>
  <si>
    <t>LUMINARIA BETA II TECNOWATT</t>
  </si>
  <si>
    <t>CABO FLEX ISOL. TERMOPLAST. 750V - 4,00 MM2 - 70º</t>
  </si>
  <si>
    <t>CABO FLEX ISOL. TERMOPLAST. 750V - 6,00 MM2 - 70º</t>
  </si>
  <si>
    <t>RELE FOTOELETRICO MAG. MOD. RM10A / 220V</t>
  </si>
  <si>
    <t>LAMPADA VS 400W/220V MOD. SON PHILLIPS OU SIMILAR</t>
  </si>
  <si>
    <t>SUPORTE PARA UMA LUMINARIA TIPO PETALA - SL1</t>
  </si>
  <si>
    <t>REATOR AFP INT. LÂMPADA VAPOR SÓDIO 400W/220V</t>
  </si>
  <si>
    <t>CAMINHAO CARR MBENZ L1620/51 C/GUIND. 6T X M(E434)</t>
  </si>
  <si>
    <t>m3</t>
  </si>
  <si>
    <t>RESUMO :</t>
  </si>
  <si>
    <t>Discriminação</t>
  </si>
  <si>
    <t>Taxa (%)</t>
  </si>
  <si>
    <t>Valores</t>
  </si>
  <si>
    <t>Mão-de-Obra (A)</t>
  </si>
  <si>
    <t>Materias (B)</t>
  </si>
  <si>
    <t>Serviços (F)</t>
  </si>
  <si>
    <t>Equipamentos (C)</t>
  </si>
  <si>
    <t>Produção da Equipe (D)</t>
  </si>
  <si>
    <t>Custo Horário Total [(A)+(C)]</t>
  </si>
  <si>
    <t>Custo Unitário da Execução [(A)+(C)/(D)]=(E)</t>
  </si>
  <si>
    <t>Custo Direto Total [(B)+(E)]</t>
  </si>
  <si>
    <t>Bonificação e Despesas Indiretas - BDI</t>
  </si>
  <si>
    <t>Custo Total com BDI + Serviços (F)</t>
  </si>
  <si>
    <t>Custo Unitário (adotado)</t>
  </si>
  <si>
    <t>Observação:</t>
  </si>
  <si>
    <t>Preços unitários, códigos e descrição dos insumos são compatíveis com a Tabela de Custos Referenciais IOPES, de maio/2015, considenrando L.S.: 134,67% e BDI: 27,64%.</t>
  </si>
  <si>
    <t>EQUIPAMENTOS:</t>
  </si>
  <si>
    <t>SERVIÇOS:</t>
  </si>
  <si>
    <t>080170</t>
  </si>
  <si>
    <t>POSTE DE AÇO COM LUMINÁRIA, COMPLETA</t>
  </si>
  <si>
    <t>010101</t>
  </si>
  <si>
    <t>010139</t>
  </si>
  <si>
    <t>Chave ajustável inglesa "grifo" 10</t>
  </si>
  <si>
    <t>Jogo de chave de fenda</t>
  </si>
  <si>
    <t>Alicate universal "8"</t>
  </si>
  <si>
    <t>830107</t>
  </si>
  <si>
    <t>830110</t>
  </si>
  <si>
    <t>830109</t>
  </si>
  <si>
    <t>MATERIAIS:</t>
  </si>
  <si>
    <t>PAINEL DE CHAPA GALVANIZADA 20MM, FRONTAL COM ESTRUTURA DE METALON 5X5MM COM ADESIVO EM IMPRESSÃO DIGITAL   (TAM:3,00X0,80M) (pesquisa de preço)</t>
  </si>
  <si>
    <t>MÃO-DE-OBRA</t>
  </si>
  <si>
    <t>010115</t>
  </si>
  <si>
    <t>010146</t>
  </si>
  <si>
    <t>020503</t>
  </si>
  <si>
    <t>020508</t>
  </si>
  <si>
    <t>020518</t>
  </si>
  <si>
    <t>040164</t>
  </si>
  <si>
    <t>040761</t>
  </si>
  <si>
    <t>043006</t>
  </si>
  <si>
    <t>043007</t>
  </si>
  <si>
    <t>046027</t>
  </si>
  <si>
    <t>046513</t>
  </si>
  <si>
    <t>046689</t>
  </si>
  <si>
    <t>049143</t>
  </si>
  <si>
    <t>CARPINTEIRO</t>
  </si>
  <si>
    <t>010111</t>
  </si>
  <si>
    <t>FORNECIMENTO E INSTALAÇÃO DE CHAPA GALVANIZADA P/ TOTEM</t>
  </si>
  <si>
    <t>Painel de chapa galvanizada 20mm, frontal com estrutura de metalon 5x5mm com adesivo em impressão digital (tam: 3,00X0,80m)</t>
  </si>
  <si>
    <t>m2</t>
  </si>
  <si>
    <t>Fornecimento e instalação de lixeira suspença 50 litros, em fibra-de-vidro ou polietileno com suporte em tubo galvanizado (pedestal)</t>
  </si>
  <si>
    <t>OUTRAS INSTALAÇÕES</t>
  </si>
  <si>
    <t>APARELHOS HIDRO-SANITÁRIOS</t>
  </si>
  <si>
    <t>SERVIÇOS COMPLEMENATRES EXTERNOS</t>
  </si>
  <si>
    <t>21</t>
  </si>
  <si>
    <t>SERVIÇOS COMPLEMENATRES INTERNOS</t>
  </si>
  <si>
    <t>TOTEM</t>
  </si>
  <si>
    <t>TOTAL:</t>
  </si>
  <si>
    <t>Cerâmica retificada, acabamento brilhante, dim. 32x44cm, ref. de cor OVIEDO PURO BRANCO Biancogress/equiv. assentado com argamassa de cimento colante, inclusive rejuntamento com argamassa pre-fabricada para rejunte</t>
  </si>
  <si>
    <t>Torneira de bóia de PVC, diâm. 1" (25mm)</t>
  </si>
  <si>
    <t>Itens de maior relevância:</t>
  </si>
  <si>
    <t>LIXEIRA SUSPENSA 50 LITROS, EM FIBRA-DE-VIDRO OU POLIETILENO COM SUPORTE EM TUBO GALVANIZADO (PEDESTAL)</t>
  </si>
  <si>
    <t>FORNECIMENTO E INSTALAÇÃO DE PORTÃO DE CORRER EM METALON GALVANIZADO 40X40MM</t>
  </si>
  <si>
    <t>PORTA EM MADEIRA TIPO ANGELIM PEDRA DE CORRER SIMPLES ATÉ 40KG COM FECHADURA 0,80X2,10 (PESQUISA DE PREÇO)</t>
  </si>
  <si>
    <t>FORNECIMENTO E INSTALAÇÃO DE PORTA LISA TIPO ANGELIM PEDRA DE CORRER SIMPLES ATÉ 40KG COM FECHADURA 0,80X2,10</t>
  </si>
  <si>
    <t>COMP-01</t>
  </si>
  <si>
    <t>COMP-02</t>
  </si>
  <si>
    <t xml:space="preserve">COMP-01 </t>
  </si>
  <si>
    <t>Cuba em aço inox nº 02 (dim.560x340x150)mm, marcas de referência Franke, Strake, tramontina, inclusiveválvula de metal 31/2" e sifão cromado 1 x 1/2", excl. torneira</t>
  </si>
  <si>
    <t>Registro de pressão com canopla cromada diam. 20mm (3/4"), marcas de referência Fabrimar, Deca ou Docol</t>
  </si>
  <si>
    <t>Torneira pressão cromada diam. 1/2" para pia, marcas de referência Fabrimar, Deca ou Docol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</si>
  <si>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</si>
  <si>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</si>
  <si>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</si>
  <si>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</si>
  <si>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</si>
  <si>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</si>
  <si>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</si>
  <si>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</si>
  <si>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</si>
  <si>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COMP-03</t>
  </si>
  <si>
    <t>COMP-04</t>
  </si>
  <si>
    <t>COMP-06 ITEM--</t>
  </si>
  <si>
    <t>COMP-05</t>
  </si>
  <si>
    <t>COMP-06</t>
  </si>
  <si>
    <t>23.4.1</t>
  </si>
  <si>
    <t>23.4.2</t>
  </si>
  <si>
    <t>FORNECIMENTO DE PORTÃO DE CORRER EM METALON GALVANIZADO 40X40MM (PESQUISA DE PREÇO)</t>
  </si>
  <si>
    <t>5o. MÊS</t>
  </si>
  <si>
    <t xml:space="preserve">COMP-05 </t>
  </si>
  <si>
    <t>MONTADOR</t>
  </si>
  <si>
    <t>Portão de correr, em metalon 40x40mm, galvanizado. Fornecimento e instalação</t>
  </si>
  <si>
    <t>Seguem abaixo cotações conforme mercado e preço mediano seguindo média simples.</t>
  </si>
  <si>
    <t>MÉDIA DE PREÇO</t>
  </si>
  <si>
    <t>FORNECEDOR</t>
  </si>
  <si>
    <t>VALOR</t>
  </si>
  <si>
    <t>MÉDIA</t>
  </si>
  <si>
    <t>Madeireira Paulino</t>
  </si>
  <si>
    <t>AP Letreiros &amp; Toldos</t>
  </si>
  <si>
    <t>AJ Metalúrgica &amp; Construtora</t>
  </si>
  <si>
    <t>FORNECIMENTO E INSTALAÇÃO DE LIXEIRA SUSPENSA 50 LITROS, EM FIBRA-DE-VIDRO OU POLIETILENO COM SUPORTE EM TUBO GALVANIZADO (PEDESTAL) NA COR AZUL</t>
  </si>
  <si>
    <t xml:space="preserve">Space buy </t>
  </si>
  <si>
    <t>OBRA/SERVIÇO: CONCLUSÃO DA CONSTRUÇÃO DO POSTO DA GUARDA MUNICIPAL</t>
  </si>
  <si>
    <t>LOCAL: PRAIA DE MAROBÁ / PRESIDENTE KENNEDY - ES</t>
  </si>
  <si>
    <t>Higieniza</t>
  </si>
  <si>
    <t xml:space="preserve">ESQUADRIAS </t>
  </si>
  <si>
    <t>ESQUADRIAS METÁLICAS (M²)</t>
  </si>
  <si>
    <t>7.2</t>
  </si>
  <si>
    <t>7.2.1</t>
  </si>
  <si>
    <t>8</t>
  </si>
  <si>
    <t>11.1.2</t>
  </si>
  <si>
    <t>11.1.3</t>
  </si>
  <si>
    <t>11.2</t>
  </si>
  <si>
    <t>11.2.1</t>
  </si>
  <si>
    <t>11.2.2</t>
  </si>
  <si>
    <t>11.2.3</t>
  </si>
  <si>
    <t>12.3</t>
  </si>
  <si>
    <t>12.3.1</t>
  </si>
  <si>
    <t>12.3.2</t>
  </si>
  <si>
    <t>12.3.3</t>
  </si>
  <si>
    <t>12.3.4</t>
  </si>
  <si>
    <t>13.4</t>
  </si>
  <si>
    <t>13.4.1</t>
  </si>
  <si>
    <t>13.4.2</t>
  </si>
  <si>
    <t>13.4.3</t>
  </si>
  <si>
    <t>13.4.4</t>
  </si>
  <si>
    <t>13.4.5</t>
  </si>
  <si>
    <t>13.4.6</t>
  </si>
  <si>
    <t>13.5</t>
  </si>
  <si>
    <t>13.5.1</t>
  </si>
  <si>
    <t>13.6</t>
  </si>
  <si>
    <t>13.6.1</t>
  </si>
  <si>
    <t>13.7</t>
  </si>
  <si>
    <t>13.7.1</t>
  </si>
  <si>
    <t>13.7.2</t>
  </si>
  <si>
    <t>13.8</t>
  </si>
  <si>
    <t>13.8.1</t>
  </si>
  <si>
    <t>13.8.2</t>
  </si>
  <si>
    <t>14.7.3</t>
  </si>
  <si>
    <t>14.7.4</t>
  </si>
  <si>
    <t>14.7.5</t>
  </si>
  <si>
    <t>14.9</t>
  </si>
  <si>
    <t>14.9.1</t>
  </si>
  <si>
    <t>14.10</t>
  </si>
  <si>
    <t>14.10.1</t>
  </si>
  <si>
    <t>14.11</t>
  </si>
  <si>
    <t>14.11.1</t>
  </si>
  <si>
    <t>14.11.2</t>
  </si>
  <si>
    <t>14.11.3</t>
  </si>
  <si>
    <t>14.11.4</t>
  </si>
  <si>
    <t>14.11.5</t>
  </si>
  <si>
    <t>14.11.6</t>
  </si>
  <si>
    <t>14.11.7</t>
  </si>
  <si>
    <t>14.12</t>
  </si>
  <si>
    <t>14.12.1</t>
  </si>
  <si>
    <t>14.12.2</t>
  </si>
  <si>
    <t>14.12.3</t>
  </si>
  <si>
    <t>15.1.2</t>
  </si>
  <si>
    <t>15.1.3</t>
  </si>
  <si>
    <t>16.3</t>
  </si>
  <si>
    <t>16.4</t>
  </si>
  <si>
    <t>16.3.1</t>
  </si>
  <si>
    <t>16.2.2</t>
  </si>
  <si>
    <t>16.2.3</t>
  </si>
  <si>
    <t>16.2.4</t>
  </si>
  <si>
    <t>16.3.2</t>
  </si>
  <si>
    <t>16.4.1</t>
  </si>
  <si>
    <t>16.5</t>
  </si>
  <si>
    <t>16.5.1</t>
  </si>
  <si>
    <t>16.6</t>
  </si>
  <si>
    <t>16.6.1</t>
  </si>
  <si>
    <t>16.7</t>
  </si>
  <si>
    <t>16.7.1</t>
  </si>
  <si>
    <t>17.1.3</t>
  </si>
  <si>
    <t>17.1.4</t>
  </si>
  <si>
    <t>17.1.5</t>
  </si>
  <si>
    <t>17.1.6</t>
  </si>
  <si>
    <t>17.3.3</t>
  </si>
  <si>
    <t>17.3.4</t>
  </si>
  <si>
    <t>17.3.5</t>
  </si>
  <si>
    <t>17.4.2</t>
  </si>
  <si>
    <t>17.4.3</t>
  </si>
  <si>
    <t>18.2.1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</si>
  <si>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</si>
  <si>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</si>
  <si>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</si>
  <si>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</si>
  <si>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</si>
  <si>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</si>
  <si>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</si>
  <si>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</si>
  <si>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</si>
  <si>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</si>
  <si>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22.1.1</t>
  </si>
  <si>
    <t>22.1.2</t>
  </si>
  <si>
    <t>22.2.1</t>
  </si>
  <si>
    <t>22.3.1</t>
  </si>
  <si>
    <t>22.3.2</t>
  </si>
  <si>
    <t>22.5.1</t>
  </si>
  <si>
    <t>22.6.1</t>
  </si>
  <si>
    <t>22.5.2</t>
  </si>
  <si>
    <t>22.5.3</t>
  </si>
  <si>
    <t>ESQUADRIAS</t>
  </si>
  <si>
    <t>MEMÓRIA DE CÁLCULO</t>
  </si>
  <si>
    <t>Demolição piso cimentado</t>
  </si>
  <si>
    <t>Banh</t>
  </si>
  <si>
    <t>Garagem</t>
  </si>
  <si>
    <t>Demolição alvenaria</t>
  </si>
  <si>
    <t xml:space="preserve">((0,60 x 2,10) x 0,15) + ((1,50 x 0,60) x 0,15) = 0,324m² </t>
  </si>
  <si>
    <t>(0,25 x 2,10 x 1,0) = 0,53m</t>
  </si>
  <si>
    <t>Retirada de marco</t>
  </si>
  <si>
    <t>largura</t>
  </si>
  <si>
    <t>altura</t>
  </si>
  <si>
    <t>qtde</t>
  </si>
  <si>
    <r>
      <t>total =</t>
    </r>
    <r>
      <rPr>
        <b/>
        <sz val="10"/>
        <rFont val="Arial"/>
        <family val="2"/>
      </rPr>
      <t xml:space="preserve"> 0,849m² + % de outros acertos</t>
    </r>
  </si>
  <si>
    <t>Raspagem e limpeza do terreno</t>
  </si>
  <si>
    <t>Lado 1</t>
  </si>
  <si>
    <t>(25,26 + 18,66 + 3,41 + 6,0) / 2 = 26,66</t>
  </si>
  <si>
    <t>Lado 2</t>
  </si>
  <si>
    <t>(16,71 + 21,91) / 2 = 19,31</t>
  </si>
  <si>
    <r>
      <t>Area = 26,66 x 19,31 =</t>
    </r>
    <r>
      <rPr>
        <b/>
        <sz val="10"/>
        <rFont val="Arial"/>
        <family val="2"/>
      </rPr>
      <t xml:space="preserve"> 514,8m²</t>
    </r>
  </si>
  <si>
    <t>Tapume</t>
  </si>
  <si>
    <t>16,71 + 18,66 + 3,41 + 6,0 + 21,91 + 25,26 = 91,95m</t>
  </si>
  <si>
    <t>Aterro</t>
  </si>
  <si>
    <t>Área edificação</t>
  </si>
  <si>
    <t>112,28m²</t>
  </si>
  <si>
    <t xml:space="preserve">Aterro </t>
  </si>
  <si>
    <t>área total - área edificação</t>
  </si>
  <si>
    <t>514,8 - 112,28</t>
  </si>
  <si>
    <t>Concreto (garagem)</t>
  </si>
  <si>
    <t>área</t>
  </si>
  <si>
    <t>espessura</t>
  </si>
  <si>
    <t>Ferragem (garagem)</t>
  </si>
  <si>
    <t>Divisória de granito</t>
  </si>
  <si>
    <t>(0,40 x 1,80) + (0,40 x 1,80) + (0,10 x 1,80) + (0,10 x 1,80) + (0,60 x 1,80) +</t>
  </si>
  <si>
    <t>+ (1,0 x 1,8) + (1,2 x 1,8) + (0,5 x 1,8) + (0,6 x 1,8) =</t>
  </si>
  <si>
    <t>8,82m²</t>
  </si>
  <si>
    <t>Alvenaria</t>
  </si>
  <si>
    <t xml:space="preserve">(0,60 x 2,10) + (1,50 x 0,60) + (0,60 x 0,50)= </t>
  </si>
  <si>
    <t>2,28m² + % consertos de quinas que quebraram</t>
  </si>
  <si>
    <t>Alizares</t>
  </si>
  <si>
    <t>lados</t>
  </si>
  <si>
    <t>Porta de aluminio</t>
  </si>
  <si>
    <t>Janela de correr</t>
  </si>
  <si>
    <t>Bascula</t>
  </si>
  <si>
    <t>Vidro temperado</t>
  </si>
  <si>
    <t xml:space="preserve">(1,60 x 3,99) + (1,60 x 4,0) + (1,60 x 4,79) + (1,60 x 4,32) = </t>
  </si>
  <si>
    <t>Segur. + portões</t>
  </si>
  <si>
    <t xml:space="preserve">porta frente </t>
  </si>
  <si>
    <t>0,90 x 2,10</t>
  </si>
  <si>
    <t>frente</t>
  </si>
  <si>
    <t>(2,05 + 4,86) x 1,10 =</t>
  </si>
  <si>
    <t>Banh box</t>
  </si>
  <si>
    <t>1,80 x 1,80</t>
  </si>
  <si>
    <t xml:space="preserve">Total </t>
  </si>
  <si>
    <t>Vidro liso</t>
  </si>
  <si>
    <t>(1,50 x 1,10) + (1,50 x 0,60) + (1,20 x 0,60) + (0,60 x 0,40) + (1,50 x 1,10) + (1,50 x 1,10) =</t>
  </si>
  <si>
    <t>Espelho</t>
  </si>
  <si>
    <t>Cobertura c/ telha = estrutura de madeira</t>
  </si>
  <si>
    <t>0,90 x 2,32</t>
  </si>
  <si>
    <t>Impermeabilização</t>
  </si>
  <si>
    <t>Área interna</t>
  </si>
  <si>
    <t>10,28 + 3,69 + 1,86 + 9,0 + 15,66 + 15,52 + 15,75 + 17,55 =</t>
  </si>
  <si>
    <t>89,31 + 4m² (paredes)=</t>
  </si>
  <si>
    <t>Perimetro edific.</t>
  </si>
  <si>
    <t>2,05 + 4,86 + 2,05 + 2,06 + 3,5 + 2,45 + 3,15 + 3,3 + 0,91 + 2,32 + 3,45 + 2,32 + 0,90 + 3,3 + 3,15 + 2,65 + 3,8 + 1,56 =</t>
  </si>
  <si>
    <t>47,78 x 0,40 = 19,11 platibanda</t>
  </si>
  <si>
    <t xml:space="preserve">Imperm = </t>
  </si>
  <si>
    <t>93,31 + 19,11 =</t>
  </si>
  <si>
    <t>Forro de gesso</t>
  </si>
  <si>
    <t>89,31 - 15,66</t>
  </si>
  <si>
    <t>Cerâmica 10x10</t>
  </si>
  <si>
    <t>externo</t>
  </si>
  <si>
    <t>2,06 + 0,15 + 4,45 + 3,50 + 4,45 + 0,15 + 2,45 + 3,15 + 3,30 + 0,91 + 2,32 + 3,45 + 2,32 + 0,90 + 3,3 + 3,15 + 2,65 + 3,8 + 1,56 =</t>
  </si>
  <si>
    <t>interno</t>
  </si>
  <si>
    <t xml:space="preserve">Dorm </t>
  </si>
  <si>
    <t>(3,50 + 4,45 + 4,50 + 3,5) x 1,20 =</t>
  </si>
  <si>
    <t>Sala estar</t>
  </si>
  <si>
    <t>(3,45 + 2,22 + 3,45 + 1,15 + 4,40 + 1,15) x 1,20 =</t>
  </si>
  <si>
    <t>Sala rádio</t>
  </si>
  <si>
    <t>(3,10 + 2,0 + 3,10 + 1,97 + 4,71 + 1,97) x 1,20 =</t>
  </si>
  <si>
    <t>Sala comand</t>
  </si>
  <si>
    <t xml:space="preserve">(3,0 + 3,0 + 3,0 + 3,0) x 1,20 = </t>
  </si>
  <si>
    <t>Circ</t>
  </si>
  <si>
    <t>(1,51 + 1,23 + 2,23 + 1,0) x 1,20 =</t>
  </si>
  <si>
    <t>Pastilha 5x5</t>
  </si>
  <si>
    <t>*desconta vãso acima de 2m²</t>
  </si>
  <si>
    <t>(2,05 x 2,80) + (4,86 x 2,80) + (2,05 x 2,80) =</t>
  </si>
  <si>
    <t>janela</t>
  </si>
  <si>
    <t>(4,86 x 1,10) + (1,0 x 1,10 x 2) =</t>
  </si>
  <si>
    <t>Cerâmica brilhante</t>
  </si>
  <si>
    <t>[(3+3+3+3) x 2,80] + 9,00 =</t>
  </si>
  <si>
    <t>Coz</t>
  </si>
  <si>
    <t>[(2,05 + 2,95 + 3,0 + 2,33 + 2,28) x 2,80] + 10,28 =</t>
  </si>
  <si>
    <t>Banh 2</t>
  </si>
  <si>
    <t>[(0,86 + 2,28 + 0,64 + 2,34 + 1,85) x 2,80] + 3,69 =</t>
  </si>
  <si>
    <t>Chapisco</t>
  </si>
  <si>
    <t>Área externa</t>
  </si>
  <si>
    <t>48,02 x 2,80</t>
  </si>
  <si>
    <t>(16 + 15,82 + 16,85 + 12 + 5,97 + 12 + 12,61 + 7,98) x 2,80 =</t>
  </si>
  <si>
    <t>Área interna paredes</t>
  </si>
  <si>
    <t>Área interna teto</t>
  </si>
  <si>
    <t xml:space="preserve">15,75 + 15,52 + 9,0 + 1,86 + 9,0 + 10,28 + 3,69 + 17,55 + 15,66 = </t>
  </si>
  <si>
    <t>Soma</t>
  </si>
  <si>
    <t>Emboço</t>
  </si>
  <si>
    <t xml:space="preserve">137,58 + 33,60 + 35,31 + 22,34 = </t>
  </si>
  <si>
    <t>Reboco</t>
  </si>
  <si>
    <t>48,02 x 2,10 =</t>
  </si>
  <si>
    <t>área total teto</t>
  </si>
  <si>
    <t>dorm</t>
  </si>
  <si>
    <t>16 x 1,60</t>
  </si>
  <si>
    <t>sala estar</t>
  </si>
  <si>
    <t>15,82 x 1,60</t>
  </si>
  <si>
    <t>sala radio</t>
  </si>
  <si>
    <t>16,85 x 1,60</t>
  </si>
  <si>
    <t>sala comand</t>
  </si>
  <si>
    <t>12 x 1,60</t>
  </si>
  <si>
    <t>Total Reboco</t>
  </si>
  <si>
    <t>100,84 + 98,31 + 97,07=</t>
  </si>
  <si>
    <t>Fornecimento, preparo e aplicação de concreto magro com consumo mínimo de cimento de 250 kg/m3 (brita 1 e 2) - (5% de perdas já incluído no custo)</t>
  </si>
  <si>
    <t>,</t>
  </si>
  <si>
    <t>ESQUADRIAS DE MADEIRA</t>
  </si>
  <si>
    <t>6.1.4</t>
  </si>
  <si>
    <t>6.1.5</t>
  </si>
  <si>
    <t xml:space="preserve">Porta em madeira de lei tipo Angelim Pedra de correr simples com fechadura. Fornecimento e Instalação 0,80 x2,10                                                     </t>
  </si>
  <si>
    <t>Padrão de entrada d' água com cavalete de PVC para hidrômetro com diâmetro de 3/4" - padrão 1C da CESAN. Instalado em vão de muro protegido com gradeamento. Inclusive base de concreto magro, tubulação, conexões e registro.</t>
  </si>
  <si>
    <t xml:space="preserve">Execução de Aterro compactado </t>
  </si>
  <si>
    <t>Tapume Telha Metálica Ondulada 0,50mm Branca h=2,20m, incl. montagem estr. mad. 8"x8"</t>
  </si>
  <si>
    <t>020350</t>
  </si>
  <si>
    <t>040237</t>
  </si>
  <si>
    <t>Marco de madeira de lei de 1ª (Peroba, Ipê, Angelim Pedra ou equivalente) com 15x3 cm de batente, nas dimensões de 0.60 x 2.10 m</t>
  </si>
  <si>
    <t>Marco de madeira de lei de 1ª (Peroba, Ipê, Angelim Pedra ou equivalente) com 15x3 cm de batente, nas dimensões de 0.80 x 2.10 m</t>
  </si>
  <si>
    <t>Porta em madeira de lei tipo angelim pedra ou equiv.c/enchimento em madeira 1a.qualidade esp. 30mm p/ pintura, inclusive alizares, dobradiças e fechadura externa em latão cromado LaFonte ou equiv., exclusive marco, nas dim.: 0.80 x 2.10 m</t>
  </si>
  <si>
    <t>061301</t>
  </si>
  <si>
    <t>061303</t>
  </si>
  <si>
    <t>Mini-Disjuntor monopolar 10 A, curva C - 5KA 220/127VCA (NBR IEC 60947-2), Ref. Siemens, GE,
Schneider ou equivalente</t>
  </si>
  <si>
    <t>Mini-Disjuntor monopolar 16 A, curva C - 5KA 220/127VCA (NBR IEC 60947-2), Ref. Siemens, GE,
Schneider ou equivalente</t>
  </si>
  <si>
    <t>Mini-Disjuntor monopolar 50 A, curva C - 5KA 220/127VCA (NBR IEC 60947-2), Ref. Siemens, GE,
Schneider ou equivalente</t>
  </si>
  <si>
    <t>Mini-Disjuntor monopolar 25 A, curva C - 5KA 220/127VCA (NBR IEC 60947-2), Ref. Siemens, GE,
Schneider ou equivalente</t>
  </si>
  <si>
    <t>Mini-Disjuntor tripolar 16 A, curva C - 5KA 220/127VCA (NBR IEC 60947-2), Ref. Siemens, GE, Schneider ou equivalente</t>
  </si>
  <si>
    <t>Fornecimento, preparo e aplicação de concreto Fck=20 MPa (brita 1 e 2) - (5% de perdas já incluído no custo)</t>
  </si>
  <si>
    <t>040322</t>
  </si>
  <si>
    <t>Pavimentação de lajotas de concreto, altamente vibrado, intertravado, com articulação vertical, pré-fabricados, colorido, com espessura de 8cm, resistência a compressão de 35MPa, assentes sobre colchão de pó de pedra, areia ou material equivalente, com as juntas tomadas com argamassa de cimento e areia, no traço 1:4 e/ou com pedrisco e asfalto, exclusive o preparo do terreno, mas com fornecimento de todos os materiais, bem como a colocação</t>
  </si>
  <si>
    <t>Revestimento cerâmico para paredes externas em pastilhas de porcelana 5 x 5 cm (placas de 30 x 30 cm), alinhadas a prumo, aplicado em panos com vãos.</t>
  </si>
  <si>
    <t>Revestimento de paredes com cerâmica, 10x10cm, telada, placa 30x30cm, assente com argamassa colante, rejuntamento com argamassa industrializada, exclusive chapisco e emboço.</t>
  </si>
  <si>
    <t>Porta em madeira de lei tipo angelim pedra ou equiv.c/enchimento em madeira 1a.qualidade esp. 30mm p/ pintura, inclusive alizares, dobradiças e fechadura interna em latão cromado LaFonte ou equiv., exclusive marco, nas dim.:0.60 x 2.10</t>
  </si>
  <si>
    <t>Fornecimento, preparo e aplicação de concreto Fck=25 MPa (brita 1 e 2) - (5% de perdas já incluído no custo)</t>
  </si>
  <si>
    <t>5.2.2</t>
  </si>
  <si>
    <t>6o. MÊS</t>
  </si>
  <si>
    <t>Impermeabilização com manta asfáltica</t>
  </si>
  <si>
    <t>Execução de piso intertravado</t>
  </si>
  <si>
    <t>Muro de alvenaria</t>
  </si>
  <si>
    <t>Índice de imperm.c/ manta asfáltica atendendo NBR 9952, asfalto polimerizado esp.3mm, reforç.c/ filme int. polietileno, regul. base c/ arg.1:4 esp.mín.15mm, proteção mec. arg.1:4 esp.20mm e juntas dilatação</t>
  </si>
  <si>
    <t>Cobertura nova de telhas cerâmicas tipo capa e canal inclusive cumeeira (telhas compradas na praça de Vitória, posto obra) (área de projeção horizontal; incl. 35%)</t>
  </si>
  <si>
    <t>090211</t>
  </si>
  <si>
    <t>TABELA: IOPES AGO/2016, EMOP MAR/2015, SINAPI SET/16</t>
  </si>
  <si>
    <t>Preços unitários, códigos e descrição dos insumos são compatíveis com a Tabela de Custos Referenciais IOPES, de agosto/2016.  BDI: 30,90%.</t>
  </si>
  <si>
    <t>Preços unitários, códigos e descrição dos insumos são compatíveis com a Tabela de Custos Referenciais IOPES, de agosto/2016, considenrando BDI: 30,90%.</t>
  </si>
  <si>
    <t>TABELA CUSTOS REFERENCIAIS IOPES agosto/2016 (LS=128,33%; BDI=30,90%)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</si>
</sst>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[$-416]dddd\,\ d&quot; de &quot;mmmm&quot; de &quot;yyyy"/>
    <numFmt numFmtId="203" formatCode="[$-416]d\ mmmm\,\ yyyy;@"/>
    <numFmt numFmtId="204" formatCode="&quot;Ativado&quot;;&quot;Ativado&quot;;&quot;Desativado&quot;"/>
    <numFmt numFmtId="205" formatCode="00000"/>
    <numFmt numFmtId="206" formatCode="#,##0.00_ ;\-#,##0.00\ 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9"/>
      <name val="Segoe UI"/>
      <family val="2"/>
    </font>
    <font>
      <sz val="9"/>
      <name val="Segoe U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8"/>
      <name val="Verdana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  <font>
      <i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7">
    <xf numFmtId="0" fontId="0" fillId="0" borderId="0" xfId="0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 horizontal="left"/>
    </xf>
    <xf numFmtId="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left" vertical="center"/>
    </xf>
    <xf numFmtId="4" fontId="6" fillId="34" borderId="0" xfId="0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49" fontId="64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64" fillId="0" borderId="0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9" fontId="0" fillId="34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49" fontId="66" fillId="0" borderId="0" xfId="0" applyNumberFormat="1" applyFont="1" applyBorder="1" applyAlignment="1">
      <alignment horizontal="center" vertical="center"/>
    </xf>
    <xf numFmtId="205" fontId="9" fillId="0" borderId="0" xfId="0" applyNumberFormat="1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11" fillId="0" borderId="14" xfId="0" applyFont="1" applyBorder="1" applyAlignment="1">
      <alignment/>
    </xf>
    <xf numFmtId="4" fontId="11" fillId="0" borderId="15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64" fillId="0" borderId="11" xfId="0" applyNumberFormat="1" applyFont="1" applyBorder="1" applyAlignment="1">
      <alignment horizontal="right" vertical="center"/>
    </xf>
    <xf numFmtId="49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9" fillId="35" borderId="0" xfId="0" applyNumberFormat="1" applyFont="1" applyFill="1" applyBorder="1" applyAlignment="1">
      <alignment horizontal="left" vertical="center"/>
    </xf>
    <xf numFmtId="49" fontId="66" fillId="35" borderId="0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16" xfId="0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49" fontId="9" fillId="35" borderId="0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34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1" fillId="36" borderId="19" xfId="0" applyNumberFormat="1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4" fontId="0" fillId="36" borderId="18" xfId="0" applyNumberFormat="1" applyFont="1" applyFill="1" applyBorder="1" applyAlignment="1">
      <alignment horizontal="right" vertical="center"/>
    </xf>
    <xf numFmtId="4" fontId="0" fillId="36" borderId="0" xfId="0" applyNumberFormat="1" applyFont="1" applyFill="1" applyBorder="1" applyAlignment="1">
      <alignment horizontal="right" vertical="center"/>
    </xf>
    <xf numFmtId="4" fontId="0" fillId="34" borderId="11" xfId="0" applyNumberFormat="1" applyFont="1" applyFill="1" applyBorder="1" applyAlignment="1">
      <alignment horizontal="right" vertical="center"/>
    </xf>
    <xf numFmtId="4" fontId="0" fillId="34" borderId="21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/>
    </xf>
    <xf numFmtId="4" fontId="0" fillId="34" borderId="11" xfId="0" applyNumberFormat="1" applyFont="1" applyFill="1" applyBorder="1" applyAlignment="1">
      <alignment vertical="center"/>
    </xf>
    <xf numFmtId="0" fontId="64" fillId="0" borderId="11" xfId="0" applyFont="1" applyBorder="1" applyAlignment="1">
      <alignment horizontal="right" vertical="center"/>
    </xf>
    <xf numFmtId="2" fontId="64" fillId="0" borderId="11" xfId="0" applyNumberFormat="1" applyFont="1" applyBorder="1" applyAlignment="1">
      <alignment horizontal="right" vertical="center"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2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2" fontId="0" fillId="34" borderId="11" xfId="0" applyNumberFormat="1" applyFont="1" applyFill="1" applyBorder="1" applyAlignment="1" applyProtection="1">
      <alignment horizontal="right" vertical="center"/>
      <protection locked="0"/>
    </xf>
    <xf numFmtId="4" fontId="0" fillId="34" borderId="21" xfId="0" applyNumberFormat="1" applyFont="1" applyFill="1" applyBorder="1" applyAlignment="1" applyProtection="1">
      <alignment horizontal="right" vertical="center"/>
      <protection locked="0"/>
    </xf>
    <xf numFmtId="4" fontId="0" fillId="0" borderId="17" xfId="0" applyNumberFormat="1" applyFont="1" applyFill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4" fontId="0" fillId="33" borderId="0" xfId="0" applyNumberFormat="1" applyFont="1" applyFill="1" applyBorder="1" applyAlignment="1">
      <alignment horizontal="right" vertical="center"/>
    </xf>
    <xf numFmtId="2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 horizontal="right" vertical="center"/>
    </xf>
    <xf numFmtId="2" fontId="0" fillId="33" borderId="0" xfId="0" applyNumberFormat="1" applyFont="1" applyFill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0" xfId="51" applyNumberFormat="1" applyFont="1" applyAlignment="1">
      <alignment vertical="center"/>
      <protection/>
    </xf>
    <xf numFmtId="0" fontId="0" fillId="0" borderId="12" xfId="0" applyFont="1" applyBorder="1" applyAlignment="1">
      <alignment horizontal="center" vertical="center" wrapText="1"/>
    </xf>
    <xf numFmtId="4" fontId="0" fillId="0" borderId="0" xfId="51" applyNumberFormat="1" applyFont="1" applyFill="1" applyBorder="1" applyAlignment="1">
      <alignment horizontal="right" vertical="center"/>
      <protection/>
    </xf>
    <xf numFmtId="49" fontId="0" fillId="34" borderId="0" xfId="0" applyNumberFormat="1" applyFont="1" applyFill="1" applyBorder="1" applyAlignment="1">
      <alignment horizontal="left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right" vertical="center" wrapText="1"/>
    </xf>
    <xf numFmtId="2" fontId="38" fillId="34" borderId="11" xfId="0" applyNumberFormat="1" applyFont="1" applyFill="1" applyBorder="1" applyAlignment="1">
      <alignment horizontal="right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 quotePrefix="1">
      <alignment horizontal="center" vertical="center"/>
    </xf>
    <xf numFmtId="191" fontId="38" fillId="34" borderId="10" xfId="0" applyNumberFormat="1" applyFont="1" applyFill="1" applyBorder="1" applyAlignment="1">
      <alignment horizontal="right" vertical="center" wrapText="1"/>
    </xf>
    <xf numFmtId="0" fontId="38" fillId="34" borderId="10" xfId="0" applyFont="1" applyFill="1" applyBorder="1" applyAlignment="1">
      <alignment horizontal="right" vertical="center" wrapText="1"/>
    </xf>
    <xf numFmtId="2" fontId="38" fillId="34" borderId="10" xfId="0" applyNumberFormat="1" applyFont="1" applyFill="1" applyBorder="1" applyAlignment="1">
      <alignment horizontal="right" vertical="center" wrapText="1"/>
    </xf>
    <xf numFmtId="2" fontId="38" fillId="34" borderId="22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0" fontId="64" fillId="0" borderId="11" xfId="0" applyFont="1" applyBorder="1" applyAlignment="1" quotePrefix="1">
      <alignment horizontal="center" vertical="center"/>
    </xf>
    <xf numFmtId="191" fontId="38" fillId="34" borderId="11" xfId="0" applyNumberFormat="1" applyFont="1" applyFill="1" applyBorder="1" applyAlignment="1">
      <alignment horizontal="right" vertical="center" wrapText="1"/>
    </xf>
    <xf numFmtId="0" fontId="67" fillId="0" borderId="23" xfId="0" applyFont="1" applyBorder="1" applyAlignment="1">
      <alignment wrapText="1"/>
    </xf>
    <xf numFmtId="0" fontId="67" fillId="0" borderId="24" xfId="0" applyFont="1" applyBorder="1" applyAlignment="1">
      <alignment wrapText="1"/>
    </xf>
    <xf numFmtId="2" fontId="38" fillId="34" borderId="21" xfId="0" applyNumberFormat="1" applyFont="1" applyFill="1" applyBorder="1" applyAlignment="1">
      <alignment horizontal="right" vertical="center" wrapText="1"/>
    </xf>
    <xf numFmtId="0" fontId="38" fillId="34" borderId="25" xfId="0" applyFont="1" applyFill="1" applyBorder="1" applyAlignment="1">
      <alignment horizontal="center" vertical="center" wrapText="1"/>
    </xf>
    <xf numFmtId="0" fontId="38" fillId="34" borderId="26" xfId="0" applyFont="1" applyFill="1" applyBorder="1" applyAlignment="1">
      <alignment horizontal="center" vertical="center"/>
    </xf>
    <xf numFmtId="191" fontId="38" fillId="34" borderId="26" xfId="0" applyNumberFormat="1" applyFont="1" applyFill="1" applyBorder="1" applyAlignment="1">
      <alignment/>
    </xf>
    <xf numFmtId="0" fontId="38" fillId="34" borderId="26" xfId="0" applyFont="1" applyFill="1" applyBorder="1" applyAlignment="1">
      <alignment/>
    </xf>
    <xf numFmtId="0" fontId="40" fillId="37" borderId="26" xfId="0" applyFont="1" applyFill="1" applyBorder="1" applyAlignment="1">
      <alignment horizontal="right" wrapText="1"/>
    </xf>
    <xf numFmtId="2" fontId="40" fillId="37" borderId="27" xfId="0" applyNumberFormat="1" applyFont="1" applyFill="1" applyBorder="1" applyAlignment="1">
      <alignment/>
    </xf>
    <xf numFmtId="0" fontId="41" fillId="34" borderId="23" xfId="0" applyFont="1" applyFill="1" applyBorder="1" applyAlignment="1">
      <alignment horizontal="left" vertical="center" wrapText="1"/>
    </xf>
    <xf numFmtId="191" fontId="38" fillId="34" borderId="26" xfId="0" applyNumberFormat="1" applyFont="1" applyFill="1" applyBorder="1" applyAlignment="1">
      <alignment horizontal="right" vertical="center"/>
    </xf>
    <xf numFmtId="0" fontId="38" fillId="34" borderId="26" xfId="0" applyFont="1" applyFill="1" applyBorder="1" applyAlignment="1">
      <alignment horizontal="right" vertical="center"/>
    </xf>
    <xf numFmtId="0" fontId="40" fillId="37" borderId="26" xfId="0" applyFont="1" applyFill="1" applyBorder="1" applyAlignment="1">
      <alignment horizontal="right" vertical="center" wrapText="1"/>
    </xf>
    <xf numFmtId="2" fontId="40" fillId="37" borderId="27" xfId="0" applyNumberFormat="1" applyFont="1" applyFill="1" applyBorder="1" applyAlignment="1">
      <alignment horizontal="right" vertical="center"/>
    </xf>
    <xf numFmtId="0" fontId="41" fillId="34" borderId="24" xfId="0" applyFont="1" applyFill="1" applyBorder="1" applyAlignment="1">
      <alignment horizontal="left" vertical="center" wrapText="1"/>
    </xf>
    <xf numFmtId="0" fontId="42" fillId="37" borderId="23" xfId="0" applyFont="1" applyFill="1" applyBorder="1" applyAlignment="1">
      <alignment/>
    </xf>
    <xf numFmtId="0" fontId="41" fillId="37" borderId="10" xfId="0" applyFont="1" applyFill="1" applyBorder="1" applyAlignment="1">
      <alignment/>
    </xf>
    <xf numFmtId="0" fontId="41" fillId="37" borderId="22" xfId="0" applyFont="1" applyFill="1" applyBorder="1" applyAlignment="1">
      <alignment/>
    </xf>
    <xf numFmtId="0" fontId="42" fillId="34" borderId="24" xfId="0" applyFont="1" applyFill="1" applyBorder="1" applyAlignment="1">
      <alignment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right" vertical="center" wrapText="1"/>
    </xf>
    <xf numFmtId="0" fontId="42" fillId="34" borderId="24" xfId="0" applyFont="1" applyFill="1" applyBorder="1" applyAlignment="1">
      <alignment horizontal="left" vertical="top" wrapText="1"/>
    </xf>
    <xf numFmtId="0" fontId="42" fillId="34" borderId="28" xfId="0" applyFont="1" applyFill="1" applyBorder="1" applyAlignment="1">
      <alignment vertical="center" wrapText="1"/>
    </xf>
    <xf numFmtId="0" fontId="42" fillId="36" borderId="29" xfId="0" applyFont="1" applyFill="1" applyBorder="1" applyAlignment="1">
      <alignment vertical="center" wrapText="1"/>
    </xf>
    <xf numFmtId="0" fontId="42" fillId="36" borderId="30" xfId="0" applyFont="1" applyFill="1" applyBorder="1" applyAlignment="1">
      <alignment horizontal="right" vertical="center" wrapText="1"/>
    </xf>
    <xf numFmtId="2" fontId="42" fillId="36" borderId="27" xfId="0" applyNumberFormat="1" applyFont="1" applyFill="1" applyBorder="1" applyAlignment="1">
      <alignment horizontal="right" vertical="center" wrapText="1"/>
    </xf>
    <xf numFmtId="2" fontId="41" fillId="34" borderId="21" xfId="0" applyNumberFormat="1" applyFont="1" applyFill="1" applyBorder="1" applyAlignment="1">
      <alignment horizontal="right" vertical="center" wrapText="1"/>
    </xf>
    <xf numFmtId="0" fontId="41" fillId="34" borderId="21" xfId="0" applyFont="1" applyFill="1" applyBorder="1" applyAlignment="1">
      <alignment horizontal="right" vertical="center" wrapText="1"/>
    </xf>
    <xf numFmtId="2" fontId="41" fillId="34" borderId="19" xfId="0" applyNumberFormat="1" applyFont="1" applyFill="1" applyBorder="1" applyAlignment="1">
      <alignment horizontal="right" vertical="center" wrapText="1"/>
    </xf>
    <xf numFmtId="0" fontId="41" fillId="34" borderId="11" xfId="0" applyFont="1" applyFill="1" applyBorder="1" applyAlignment="1">
      <alignment horizontal="right" vertical="center" wrapText="1"/>
    </xf>
    <xf numFmtId="0" fontId="41" fillId="34" borderId="13" xfId="0" applyFont="1" applyFill="1" applyBorder="1" applyAlignment="1">
      <alignment horizontal="right" vertical="center" wrapText="1"/>
    </xf>
    <xf numFmtId="0" fontId="41" fillId="34" borderId="10" xfId="0" applyFont="1" applyFill="1" applyBorder="1" applyAlignment="1">
      <alignment horizontal="center" vertical="center"/>
    </xf>
    <xf numFmtId="49" fontId="41" fillId="3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right" vertical="center" wrapText="1"/>
    </xf>
    <xf numFmtId="0" fontId="41" fillId="34" borderId="10" xfId="0" applyFont="1" applyFill="1" applyBorder="1" applyAlignment="1">
      <alignment horizontal="right" vertical="center"/>
    </xf>
    <xf numFmtId="2" fontId="41" fillId="0" borderId="22" xfId="0" applyNumberFormat="1" applyFont="1" applyFill="1" applyBorder="1" applyAlignment="1">
      <alignment horizontal="right" vertical="center"/>
    </xf>
    <xf numFmtId="0" fontId="41" fillId="34" borderId="11" xfId="0" applyFont="1" applyFill="1" applyBorder="1" applyAlignment="1">
      <alignment horizontal="center" vertical="center"/>
    </xf>
    <xf numFmtId="49" fontId="41" fillId="34" borderId="11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right" vertical="center" wrapText="1"/>
    </xf>
    <xf numFmtId="0" fontId="41" fillId="34" borderId="11" xfId="0" applyFont="1" applyFill="1" applyBorder="1" applyAlignment="1">
      <alignment horizontal="right" vertical="center"/>
    </xf>
    <xf numFmtId="2" fontId="41" fillId="0" borderId="21" xfId="0" applyNumberFormat="1" applyFont="1" applyFill="1" applyBorder="1" applyAlignment="1">
      <alignment horizontal="right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right" vertical="top" wrapText="1"/>
    </xf>
    <xf numFmtId="0" fontId="41" fillId="34" borderId="10" xfId="0" applyFont="1" applyFill="1" applyBorder="1" applyAlignment="1">
      <alignment horizontal="right" vertical="center" wrapText="1"/>
    </xf>
    <xf numFmtId="4" fontId="41" fillId="34" borderId="22" xfId="0" applyNumberFormat="1" applyFont="1" applyFill="1" applyBorder="1" applyAlignment="1">
      <alignment horizontal="right" vertical="center" wrapText="1"/>
    </xf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right" vertical="top" wrapText="1"/>
    </xf>
    <xf numFmtId="0" fontId="47" fillId="38" borderId="11" xfId="0" applyFont="1" applyFill="1" applyBorder="1" applyAlignment="1">
      <alignment horizontal="right" vertical="center" wrapText="1"/>
    </xf>
    <xf numFmtId="4" fontId="41" fillId="0" borderId="11" xfId="0" applyNumberFormat="1" applyFont="1" applyBorder="1" applyAlignment="1">
      <alignment horizontal="right" vertical="top" wrapText="1"/>
    </xf>
    <xf numFmtId="4" fontId="41" fillId="34" borderId="21" xfId="0" applyNumberFormat="1" applyFont="1" applyFill="1" applyBorder="1" applyAlignment="1">
      <alignment horizontal="right" vertical="center" wrapText="1"/>
    </xf>
    <xf numFmtId="43" fontId="68" fillId="0" borderId="25" xfId="0" applyNumberFormat="1" applyFont="1" applyBorder="1" applyAlignment="1">
      <alignment vertical="center" wrapText="1"/>
    </xf>
    <xf numFmtId="43" fontId="41" fillId="34" borderId="26" xfId="0" applyNumberFormat="1" applyFont="1" applyFill="1" applyBorder="1" applyAlignment="1">
      <alignment horizontal="center" vertical="center" wrapText="1"/>
    </xf>
    <xf numFmtId="43" fontId="68" fillId="0" borderId="26" xfId="0" applyNumberFormat="1" applyFont="1" applyBorder="1" applyAlignment="1">
      <alignment horizontal="center" vertical="center"/>
    </xf>
    <xf numFmtId="43" fontId="41" fillId="34" borderId="26" xfId="0" applyNumberFormat="1" applyFont="1" applyFill="1" applyBorder="1" applyAlignment="1">
      <alignment horizontal="right" vertical="center" wrapText="1"/>
    </xf>
    <xf numFmtId="43" fontId="42" fillId="37" borderId="26" xfId="0" applyNumberFormat="1" applyFont="1" applyFill="1" applyBorder="1" applyAlignment="1">
      <alignment horizontal="right" vertical="center" wrapText="1"/>
    </xf>
    <xf numFmtId="4" fontId="42" fillId="37" borderId="27" xfId="0" applyNumberFormat="1" applyFont="1" applyFill="1" applyBorder="1" applyAlignment="1">
      <alignment horizontal="right" vertical="center" wrapText="1"/>
    </xf>
    <xf numFmtId="2" fontId="41" fillId="0" borderId="10" xfId="0" applyNumberFormat="1" applyFont="1" applyBorder="1" applyAlignment="1">
      <alignment horizontal="right" vertical="center" wrapText="1"/>
    </xf>
    <xf numFmtId="0" fontId="68" fillId="0" borderId="11" xfId="0" applyFont="1" applyBorder="1" applyAlignment="1">
      <alignment/>
    </xf>
    <xf numFmtId="0" fontId="41" fillId="34" borderId="11" xfId="0" applyFont="1" applyFill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/>
    </xf>
    <xf numFmtId="2" fontId="41" fillId="0" borderId="31" xfId="0" applyNumberFormat="1" applyFont="1" applyBorder="1" applyAlignment="1">
      <alignment horizontal="right" vertical="top" wrapText="1"/>
    </xf>
    <xf numFmtId="0" fontId="41" fillId="0" borderId="31" xfId="0" applyFont="1" applyBorder="1" applyAlignment="1">
      <alignment horizontal="right" vertical="top" wrapText="1"/>
    </xf>
    <xf numFmtId="0" fontId="41" fillId="34" borderId="32" xfId="0" applyFont="1" applyFill="1" applyBorder="1" applyAlignment="1">
      <alignment horizontal="right" vertical="center" wrapText="1"/>
    </xf>
    <xf numFmtId="0" fontId="41" fillId="34" borderId="11" xfId="0" applyFont="1" applyFill="1" applyBorder="1" applyAlignment="1">
      <alignment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center"/>
    </xf>
    <xf numFmtId="0" fontId="41" fillId="34" borderId="18" xfId="0" applyFont="1" applyFill="1" applyBorder="1" applyAlignment="1">
      <alignment horizontal="right" vertical="center" wrapText="1"/>
    </xf>
    <xf numFmtId="0" fontId="68" fillId="0" borderId="18" xfId="0" applyFont="1" applyBorder="1" applyAlignment="1">
      <alignment/>
    </xf>
    <xf numFmtId="0" fontId="42" fillId="37" borderId="18" xfId="0" applyFont="1" applyFill="1" applyBorder="1" applyAlignment="1">
      <alignment horizontal="right" vertical="center" wrapText="1"/>
    </xf>
    <xf numFmtId="4" fontId="42" fillId="37" borderId="33" xfId="0" applyNumberFormat="1" applyFont="1" applyFill="1" applyBorder="1" applyAlignment="1">
      <alignment horizontal="right" vertical="center" wrapText="1"/>
    </xf>
    <xf numFmtId="0" fontId="42" fillId="34" borderId="26" xfId="0" applyFont="1" applyFill="1" applyBorder="1" applyAlignment="1">
      <alignment horizontal="center" vertical="center" wrapText="1"/>
    </xf>
    <xf numFmtId="0" fontId="42" fillId="37" borderId="23" xfId="0" applyFont="1" applyFill="1" applyBorder="1" applyAlignment="1">
      <alignment horizontal="left"/>
    </xf>
    <xf numFmtId="0" fontId="42" fillId="37" borderId="24" xfId="0" applyFont="1" applyFill="1" applyBorder="1" applyAlignment="1">
      <alignment horizontal="left"/>
    </xf>
    <xf numFmtId="0" fontId="42" fillId="37" borderId="25" xfId="0" applyFont="1" applyFill="1" applyBorder="1" applyAlignment="1">
      <alignment horizontal="left" vertical="center" wrapText="1"/>
    </xf>
    <xf numFmtId="0" fontId="41" fillId="34" borderId="24" xfId="0" applyFont="1" applyFill="1" applyBorder="1" applyAlignment="1">
      <alignment vertical="center" wrapText="1"/>
    </xf>
    <xf numFmtId="2" fontId="42" fillId="37" borderId="22" xfId="0" applyNumberFormat="1" applyFont="1" applyFill="1" applyBorder="1" applyAlignment="1">
      <alignment horizontal="right" vertical="center"/>
    </xf>
    <xf numFmtId="0" fontId="41" fillId="34" borderId="25" xfId="0" applyFont="1" applyFill="1" applyBorder="1" applyAlignment="1">
      <alignment horizontal="center" vertical="center" wrapText="1"/>
    </xf>
    <xf numFmtId="0" fontId="41" fillId="34" borderId="26" xfId="0" applyFont="1" applyFill="1" applyBorder="1" applyAlignment="1">
      <alignment horizontal="center" vertical="center"/>
    </xf>
    <xf numFmtId="2" fontId="42" fillId="37" borderId="27" xfId="0" applyNumberFormat="1" applyFont="1" applyFill="1" applyBorder="1" applyAlignment="1">
      <alignment horizontal="right" vertical="center"/>
    </xf>
    <xf numFmtId="0" fontId="68" fillId="0" borderId="23" xfId="0" applyFont="1" applyBorder="1" applyAlignment="1">
      <alignment wrapText="1"/>
    </xf>
    <xf numFmtId="0" fontId="41" fillId="34" borderId="10" xfId="0" applyFont="1" applyFill="1" applyBorder="1" applyAlignment="1">
      <alignment horizontal="center" vertical="center" wrapText="1"/>
    </xf>
    <xf numFmtId="2" fontId="41" fillId="34" borderId="10" xfId="0" applyNumberFormat="1" applyFont="1" applyFill="1" applyBorder="1" applyAlignment="1">
      <alignment horizontal="right" vertical="center" wrapText="1"/>
    </xf>
    <xf numFmtId="2" fontId="41" fillId="34" borderId="22" xfId="0" applyNumberFormat="1" applyFont="1" applyFill="1" applyBorder="1" applyAlignment="1">
      <alignment horizontal="right" vertical="center" wrapText="1"/>
    </xf>
    <xf numFmtId="0" fontId="68" fillId="0" borderId="24" xfId="0" applyFont="1" applyBorder="1" applyAlignment="1">
      <alignment wrapText="1"/>
    </xf>
    <xf numFmtId="2" fontId="41" fillId="34" borderId="11" xfId="0" applyNumberFormat="1" applyFont="1" applyFill="1" applyBorder="1" applyAlignment="1">
      <alignment horizontal="right" vertical="center" wrapText="1"/>
    </xf>
    <xf numFmtId="2" fontId="42" fillId="37" borderId="27" xfId="0" applyNumberFormat="1" applyFont="1" applyFill="1" applyBorder="1" applyAlignment="1">
      <alignment/>
    </xf>
    <xf numFmtId="0" fontId="41" fillId="0" borderId="0" xfId="0" applyFont="1" applyAlignment="1">
      <alignment/>
    </xf>
    <xf numFmtId="2" fontId="41" fillId="0" borderId="10" xfId="0" applyNumberFormat="1" applyFont="1" applyBorder="1" applyAlignment="1">
      <alignment horizontal="right" vertical="top" wrapText="1"/>
    </xf>
    <xf numFmtId="2" fontId="41" fillId="0" borderId="11" xfId="0" applyNumberFormat="1" applyFont="1" applyBorder="1" applyAlignment="1">
      <alignment horizontal="right" vertical="top" wrapText="1"/>
    </xf>
    <xf numFmtId="2" fontId="41" fillId="34" borderId="26" xfId="0" applyNumberFormat="1" applyFont="1" applyFill="1" applyBorder="1" applyAlignment="1">
      <alignment horizontal="right" vertical="center" wrapText="1"/>
    </xf>
    <xf numFmtId="2" fontId="47" fillId="38" borderId="11" xfId="0" applyNumberFormat="1" applyFont="1" applyFill="1" applyBorder="1" applyAlignment="1">
      <alignment horizontal="right" vertical="center" wrapText="1"/>
    </xf>
    <xf numFmtId="2" fontId="42" fillId="37" borderId="26" xfId="0" applyNumberFormat="1" applyFont="1" applyFill="1" applyBorder="1" applyAlignment="1">
      <alignment horizontal="right" vertical="center" wrapText="1"/>
    </xf>
    <xf numFmtId="2" fontId="42" fillId="37" borderId="27" xfId="0" applyNumberFormat="1" applyFont="1" applyFill="1" applyBorder="1" applyAlignment="1">
      <alignment horizontal="right" vertical="center" wrapText="1"/>
    </xf>
    <xf numFmtId="49" fontId="68" fillId="0" borderId="10" xfId="0" applyNumberFormat="1" applyFont="1" applyBorder="1" applyAlignment="1">
      <alignment horizontal="center"/>
    </xf>
    <xf numFmtId="2" fontId="41" fillId="34" borderId="10" xfId="0" applyNumberFormat="1" applyFont="1" applyFill="1" applyBorder="1" applyAlignment="1">
      <alignment horizontal="right" vertical="center"/>
    </xf>
    <xf numFmtId="2" fontId="41" fillId="34" borderId="26" xfId="0" applyNumberFormat="1" applyFont="1" applyFill="1" applyBorder="1" applyAlignment="1">
      <alignment horizontal="right" vertical="center"/>
    </xf>
    <xf numFmtId="2" fontId="41" fillId="34" borderId="26" xfId="0" applyNumberFormat="1" applyFont="1" applyFill="1" applyBorder="1" applyAlignment="1">
      <alignment/>
    </xf>
    <xf numFmtId="2" fontId="42" fillId="37" borderId="26" xfId="0" applyNumberFormat="1" applyFont="1" applyFill="1" applyBorder="1" applyAlignment="1">
      <alignment horizontal="right" wrapText="1"/>
    </xf>
    <xf numFmtId="4" fontId="42" fillId="36" borderId="27" xfId="0" applyNumberFormat="1" applyFont="1" applyFill="1" applyBorder="1" applyAlignment="1">
      <alignment horizontal="right" vertical="center" wrapText="1"/>
    </xf>
    <xf numFmtId="0" fontId="41" fillId="0" borderId="34" xfId="0" applyFont="1" applyBorder="1" applyAlignment="1">
      <alignment horizontal="right" vertical="top" wrapText="1"/>
    </xf>
    <xf numFmtId="0" fontId="41" fillId="0" borderId="35" xfId="0" applyFont="1" applyBorder="1" applyAlignment="1">
      <alignment horizontal="right" vertical="top" wrapText="1"/>
    </xf>
    <xf numFmtId="4" fontId="41" fillId="0" borderId="36" xfId="0" applyNumberFormat="1" applyFont="1" applyBorder="1" applyAlignment="1">
      <alignment/>
    </xf>
    <xf numFmtId="4" fontId="41" fillId="34" borderId="19" xfId="0" applyNumberFormat="1" applyFont="1" applyFill="1" applyBorder="1" applyAlignment="1">
      <alignment horizontal="right" vertical="center" wrapText="1"/>
    </xf>
    <xf numFmtId="2" fontId="41" fillId="0" borderId="11" xfId="0" applyNumberFormat="1" applyFont="1" applyBorder="1" applyAlignment="1">
      <alignment horizontal="right" vertical="center" wrapText="1"/>
    </xf>
    <xf numFmtId="2" fontId="41" fillId="34" borderId="11" xfId="0" applyNumberFormat="1" applyFont="1" applyFill="1" applyBorder="1" applyAlignment="1">
      <alignment horizontal="right" vertical="center"/>
    </xf>
    <xf numFmtId="49" fontId="68" fillId="0" borderId="1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2" fontId="41" fillId="34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42" fillId="37" borderId="24" xfId="0" applyFont="1" applyFill="1" applyBorder="1" applyAlignment="1">
      <alignment horizontal="left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/>
    </xf>
    <xf numFmtId="4" fontId="11" fillId="0" borderId="41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49" fontId="1" fillId="36" borderId="24" xfId="0" applyNumberFormat="1" applyFont="1" applyFill="1" applyBorder="1" applyAlignment="1">
      <alignment horizontal="center" vertical="center"/>
    </xf>
    <xf numFmtId="49" fontId="1" fillId="34" borderId="24" xfId="0" applyNumberFormat="1" applyFont="1" applyFill="1" applyBorder="1" applyAlignment="1">
      <alignment horizontal="center" vertical="center"/>
    </xf>
    <xf numFmtId="49" fontId="0" fillId="34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0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42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3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Fill="1" applyBorder="1" applyAlignment="1">
      <alignment/>
    </xf>
    <xf numFmtId="4" fontId="0" fillId="0" borderId="46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8" xfId="0" applyFont="1" applyFill="1" applyBorder="1" applyAlignment="1">
      <alignment/>
    </xf>
    <xf numFmtId="4" fontId="0" fillId="0" borderId="49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49" fontId="0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Border="1" applyAlignment="1">
      <alignment/>
    </xf>
    <xf numFmtId="0" fontId="1" fillId="0" borderId="49" xfId="0" applyFont="1" applyBorder="1" applyAlignment="1">
      <alignment/>
    </xf>
    <xf numFmtId="0" fontId="0" fillId="0" borderId="12" xfId="0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1" xfId="0" applyFont="1" applyFill="1" applyBorder="1" applyAlignment="1">
      <alignment/>
    </xf>
    <xf numFmtId="2" fontId="0" fillId="0" borderId="49" xfId="0" applyNumberFormat="1" applyBorder="1" applyAlignment="1">
      <alignment/>
    </xf>
    <xf numFmtId="0" fontId="0" fillId="0" borderId="48" xfId="0" applyFont="1" applyFill="1" applyBorder="1" applyAlignment="1">
      <alignment wrapText="1"/>
    </xf>
    <xf numFmtId="0" fontId="0" fillId="0" borderId="13" xfId="0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68" fillId="0" borderId="11" xfId="0" applyNumberFormat="1" applyFont="1" applyFill="1" applyBorder="1" applyAlignment="1">
      <alignment horizontal="right" vertical="center" wrapText="1"/>
    </xf>
    <xf numFmtId="0" fontId="41" fillId="0" borderId="11" xfId="0" applyFont="1" applyBorder="1" applyAlignment="1">
      <alignment horizontal="center" vertical="center" wrapText="1"/>
    </xf>
    <xf numFmtId="4" fontId="0" fillId="34" borderId="11" xfId="0" applyNumberFormat="1" applyFont="1" applyFill="1" applyBorder="1" applyAlignment="1" applyProtection="1">
      <alignment horizontal="right" vertical="center"/>
      <protection locked="0"/>
    </xf>
    <xf numFmtId="4" fontId="41" fillId="34" borderId="10" xfId="0" applyNumberFormat="1" applyFont="1" applyFill="1" applyBorder="1" applyAlignment="1">
      <alignment horizontal="center" vertical="center" wrapText="1"/>
    </xf>
    <xf numFmtId="3" fontId="0" fillId="34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6" fillId="0" borderId="5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horizontal="left" vertical="center" wrapText="1"/>
    </xf>
    <xf numFmtId="0" fontId="17" fillId="0" borderId="54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55" xfId="0" applyNumberFormat="1" applyFont="1" applyFill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49" fontId="65" fillId="0" borderId="11" xfId="0" applyNumberFormat="1" applyFont="1" applyBorder="1" applyAlignment="1">
      <alignment horizontal="left" vertical="center" wrapText="1"/>
    </xf>
    <xf numFmtId="49" fontId="64" fillId="0" borderId="11" xfId="0" applyNumberFormat="1" applyFont="1" applyBorder="1" applyAlignment="1">
      <alignment horizontal="left" vertical="center" wrapText="1"/>
    </xf>
    <xf numFmtId="0" fontId="0" fillId="0" borderId="0" xfId="51" applyFont="1" applyFill="1" applyBorder="1" applyAlignment="1">
      <alignment horizontal="left" vertical="justify" wrapText="1"/>
      <protection/>
    </xf>
    <xf numFmtId="0" fontId="0" fillId="0" borderId="0" xfId="51" applyFill="1" applyBorder="1" applyAlignment="1">
      <alignment horizontal="left" vertical="justify" wrapText="1"/>
      <protection/>
    </xf>
    <xf numFmtId="0" fontId="0" fillId="0" borderId="0" xfId="51" applyFont="1" applyBorder="1" applyAlignment="1">
      <alignment horizontal="left" vertical="justify"/>
      <protection/>
    </xf>
    <xf numFmtId="0" fontId="0" fillId="0" borderId="11" xfId="0" applyFont="1" applyFill="1" applyBorder="1" applyAlignment="1">
      <alignment horizontal="left" vertical="center" wrapText="1"/>
    </xf>
    <xf numFmtId="49" fontId="1" fillId="36" borderId="18" xfId="0" applyNumberFormat="1" applyFont="1" applyFill="1" applyBorder="1" applyAlignment="1">
      <alignment horizontal="left" vertical="center"/>
    </xf>
    <xf numFmtId="0" fontId="0" fillId="34" borderId="48" xfId="0" applyFont="1" applyFill="1" applyBorder="1" applyAlignment="1">
      <alignment horizontal="left" vertical="center" wrapText="1"/>
    </xf>
    <xf numFmtId="0" fontId="0" fillId="34" borderId="49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justify" vertical="center"/>
    </xf>
    <xf numFmtId="0" fontId="1" fillId="34" borderId="48" xfId="0" applyFont="1" applyFill="1" applyBorder="1" applyAlignment="1">
      <alignment horizontal="left" vertical="center"/>
    </xf>
    <xf numFmtId="0" fontId="1" fillId="34" borderId="49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left" vertical="center"/>
    </xf>
    <xf numFmtId="49" fontId="0" fillId="34" borderId="48" xfId="0" applyNumberFormat="1" applyFont="1" applyFill="1" applyBorder="1" applyAlignment="1">
      <alignment horizontal="left" vertical="center" wrapText="1"/>
    </xf>
    <xf numFmtId="49" fontId="0" fillId="34" borderId="49" xfId="0" applyNumberFormat="1" applyFont="1" applyFill="1" applyBorder="1" applyAlignment="1">
      <alignment horizontal="left" vertical="center" wrapText="1"/>
    </xf>
    <xf numFmtId="49" fontId="0" fillId="34" borderId="12" xfId="0" applyNumberFormat="1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left" vertical="center"/>
    </xf>
    <xf numFmtId="49" fontId="65" fillId="0" borderId="11" xfId="0" applyNumberFormat="1" applyFont="1" applyBorder="1" applyAlignment="1">
      <alignment horizontal="left" vertical="center"/>
    </xf>
    <xf numFmtId="0" fontId="0" fillId="34" borderId="48" xfId="0" applyFont="1" applyFill="1" applyBorder="1" applyAlignment="1">
      <alignment horizontal="left" vertical="center"/>
    </xf>
    <xf numFmtId="49" fontId="64" fillId="0" borderId="11" xfId="0" applyNumberFormat="1" applyFont="1" applyFill="1" applyBorder="1" applyAlignment="1">
      <alignment horizontal="left" vertical="center" wrapText="1"/>
    </xf>
    <xf numFmtId="49" fontId="1" fillId="34" borderId="49" xfId="0" applyNumberFormat="1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 vertical="center"/>
    </xf>
    <xf numFmtId="49" fontId="0" fillId="34" borderId="48" xfId="0" applyNumberFormat="1" applyFont="1" applyFill="1" applyBorder="1" applyAlignment="1">
      <alignment horizontal="left" vertical="center"/>
    </xf>
    <xf numFmtId="49" fontId="0" fillId="34" borderId="49" xfId="0" applyNumberFormat="1" applyFont="1" applyFill="1" applyBorder="1" applyAlignment="1">
      <alignment horizontal="left" vertical="center"/>
    </xf>
    <xf numFmtId="49" fontId="0" fillId="34" borderId="12" xfId="0" applyNumberFormat="1" applyFont="1" applyFill="1" applyBorder="1" applyAlignment="1">
      <alignment horizontal="left" vertical="center"/>
    </xf>
    <xf numFmtId="49" fontId="1" fillId="34" borderId="11" xfId="0" applyNumberFormat="1" applyFont="1" applyFill="1" applyBorder="1" applyAlignment="1">
      <alignment horizontal="left" vertical="top"/>
    </xf>
    <xf numFmtId="49" fontId="0" fillId="0" borderId="11" xfId="0" applyNumberFormat="1" applyFont="1" applyFill="1" applyBorder="1" applyAlignment="1">
      <alignment horizontal="left" vertical="center" wrapText="1"/>
    </xf>
    <xf numFmtId="2" fontId="64" fillId="0" borderId="11" xfId="0" applyNumberFormat="1" applyFont="1" applyBorder="1" applyAlignment="1">
      <alignment horizontal="left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0" borderId="50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37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4" fontId="18" fillId="0" borderId="53" xfId="0" applyNumberFormat="1" applyFont="1" applyBorder="1" applyAlignment="1">
      <alignment horizontal="center" vertical="center"/>
    </xf>
    <xf numFmtId="4" fontId="18" fillId="0" borderId="54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8" fillId="0" borderId="36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4" fontId="18" fillId="0" borderId="55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42" fillId="34" borderId="64" xfId="0" applyFont="1" applyFill="1" applyBorder="1" applyAlignment="1">
      <alignment horizontal="center" vertical="center" wrapText="1"/>
    </xf>
    <xf numFmtId="0" fontId="42" fillId="34" borderId="30" xfId="0" applyFont="1" applyFill="1" applyBorder="1" applyAlignment="1">
      <alignment horizontal="center" vertical="center" wrapText="1"/>
    </xf>
    <xf numFmtId="0" fontId="42" fillId="34" borderId="60" xfId="0" applyFont="1" applyFill="1" applyBorder="1" applyAlignment="1">
      <alignment horizontal="center" vertical="center" wrapText="1"/>
    </xf>
    <xf numFmtId="0" fontId="42" fillId="34" borderId="61" xfId="0" applyFont="1" applyFill="1" applyBorder="1" applyAlignment="1">
      <alignment horizontal="center" vertical="center" wrapText="1"/>
    </xf>
    <xf numFmtId="0" fontId="42" fillId="37" borderId="56" xfId="0" applyFont="1" applyFill="1" applyBorder="1" applyAlignment="1">
      <alignment vertical="center" wrapText="1"/>
    </xf>
    <xf numFmtId="0" fontId="42" fillId="37" borderId="64" xfId="0" applyFont="1" applyFill="1" applyBorder="1" applyAlignment="1">
      <alignment vertical="center" wrapText="1"/>
    </xf>
    <xf numFmtId="0" fontId="42" fillId="37" borderId="60" xfId="0" applyFont="1" applyFill="1" applyBorder="1" applyAlignment="1">
      <alignment vertical="center" wrapText="1"/>
    </xf>
    <xf numFmtId="0" fontId="40" fillId="37" borderId="38" xfId="0" applyFont="1" applyFill="1" applyBorder="1" applyAlignment="1">
      <alignment vertical="center" wrapText="1"/>
    </xf>
    <xf numFmtId="0" fontId="40" fillId="37" borderId="0" xfId="0" applyFont="1" applyFill="1" applyBorder="1" applyAlignment="1">
      <alignment vertical="center" wrapText="1"/>
    </xf>
    <xf numFmtId="0" fontId="40" fillId="37" borderId="36" xfId="0" applyFont="1" applyFill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69" fillId="0" borderId="0" xfId="0" applyFont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40" fillId="36" borderId="50" xfId="0" applyFont="1" applyFill="1" applyBorder="1" applyAlignment="1">
      <alignment horizontal="left" vertical="top" wrapText="1"/>
    </xf>
    <xf numFmtId="0" fontId="40" fillId="36" borderId="53" xfId="0" applyFont="1" applyFill="1" applyBorder="1" applyAlignment="1">
      <alignment horizontal="left" vertical="top" wrapText="1"/>
    </xf>
    <xf numFmtId="0" fontId="40" fillId="36" borderId="54" xfId="0" applyFont="1" applyFill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43" fillId="14" borderId="37" xfId="0" applyFont="1" applyFill="1" applyBorder="1" applyAlignment="1">
      <alignment horizontal="center" vertical="center" wrapText="1"/>
    </xf>
    <xf numFmtId="0" fontId="43" fillId="14" borderId="52" xfId="0" applyFont="1" applyFill="1" applyBorder="1" applyAlignment="1">
      <alignment horizontal="center" vertical="center" wrapText="1"/>
    </xf>
    <xf numFmtId="0" fontId="43" fillId="14" borderId="41" xfId="0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left" wrapText="1"/>
    </xf>
    <xf numFmtId="0" fontId="41" fillId="37" borderId="22" xfId="0" applyFont="1" applyFill="1" applyBorder="1" applyAlignment="1">
      <alignment horizontal="left" wrapText="1"/>
    </xf>
    <xf numFmtId="0" fontId="70" fillId="37" borderId="11" xfId="0" applyFont="1" applyFill="1" applyBorder="1" applyAlignment="1">
      <alignment horizontal="left"/>
    </xf>
    <xf numFmtId="0" fontId="57" fillId="37" borderId="11" xfId="0" applyFont="1" applyFill="1" applyBorder="1" applyAlignment="1">
      <alignment horizontal="left"/>
    </xf>
    <xf numFmtId="0" fontId="57" fillId="37" borderId="21" xfId="0" applyFont="1" applyFill="1" applyBorder="1" applyAlignment="1">
      <alignment horizontal="left"/>
    </xf>
    <xf numFmtId="0" fontId="71" fillId="37" borderId="48" xfId="0" applyFont="1" applyFill="1" applyBorder="1" applyAlignment="1">
      <alignment horizontal="left" vertical="center" wrapText="1"/>
    </xf>
    <xf numFmtId="0" fontId="71" fillId="37" borderId="49" xfId="0" applyFont="1" applyFill="1" applyBorder="1" applyAlignment="1">
      <alignment horizontal="left" vertical="center" wrapText="1"/>
    </xf>
    <xf numFmtId="0" fontId="71" fillId="37" borderId="65" xfId="0" applyFont="1" applyFill="1" applyBorder="1" applyAlignment="1">
      <alignment horizontal="left" vertical="center" wrapText="1"/>
    </xf>
    <xf numFmtId="49" fontId="41" fillId="37" borderId="66" xfId="0" applyNumberFormat="1" applyFont="1" applyFill="1" applyBorder="1" applyAlignment="1">
      <alignment horizontal="left" vertical="center" wrapText="1"/>
    </xf>
    <xf numFmtId="49" fontId="41" fillId="37" borderId="57" xfId="0" applyNumberFormat="1" applyFont="1" applyFill="1" applyBorder="1" applyAlignment="1">
      <alignment horizontal="left" vertical="center" wrapText="1"/>
    </xf>
    <xf numFmtId="49" fontId="41" fillId="37" borderId="67" xfId="0" applyNumberFormat="1" applyFont="1" applyFill="1" applyBorder="1" applyAlignment="1">
      <alignment horizontal="left" vertical="center" wrapText="1"/>
    </xf>
    <xf numFmtId="0" fontId="42" fillId="34" borderId="56" xfId="0" applyFont="1" applyFill="1" applyBorder="1" applyAlignment="1">
      <alignment vertical="center" wrapText="1"/>
    </xf>
    <xf numFmtId="0" fontId="42" fillId="34" borderId="29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72" fillId="0" borderId="11" xfId="0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center"/>
    </xf>
    <xf numFmtId="0" fontId="42" fillId="14" borderId="37" xfId="0" applyFont="1" applyFill="1" applyBorder="1" applyAlignment="1">
      <alignment horizontal="center" vertical="center" wrapText="1"/>
    </xf>
    <xf numFmtId="0" fontId="42" fillId="14" borderId="52" xfId="0" applyFont="1" applyFill="1" applyBorder="1" applyAlignment="1">
      <alignment horizontal="center" vertical="center" wrapText="1"/>
    </xf>
    <xf numFmtId="0" fontId="42" fillId="14" borderId="41" xfId="0" applyFont="1" applyFill="1" applyBorder="1" applyAlignment="1">
      <alignment horizontal="center" vertical="center" wrapText="1"/>
    </xf>
    <xf numFmtId="0" fontId="73" fillId="37" borderId="48" xfId="0" applyFont="1" applyFill="1" applyBorder="1" applyAlignment="1">
      <alignment horizontal="left" vertical="center" wrapText="1"/>
    </xf>
    <xf numFmtId="0" fontId="73" fillId="37" borderId="49" xfId="0" applyFont="1" applyFill="1" applyBorder="1" applyAlignment="1">
      <alignment horizontal="left" vertical="center" wrapText="1"/>
    </xf>
    <xf numFmtId="0" fontId="73" fillId="37" borderId="65" xfId="0" applyFont="1" applyFill="1" applyBorder="1" applyAlignment="1">
      <alignment horizontal="left" vertical="center" wrapText="1"/>
    </xf>
    <xf numFmtId="0" fontId="42" fillId="37" borderId="38" xfId="0" applyFont="1" applyFill="1" applyBorder="1" applyAlignment="1">
      <alignment vertical="center" wrapText="1"/>
    </xf>
    <xf numFmtId="0" fontId="42" fillId="37" borderId="0" xfId="0" applyFont="1" applyFill="1" applyBorder="1" applyAlignment="1">
      <alignment vertical="center" wrapText="1"/>
    </xf>
    <xf numFmtId="0" fontId="42" fillId="37" borderId="36" xfId="0" applyFont="1" applyFill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36" borderId="50" xfId="0" applyFont="1" applyFill="1" applyBorder="1" applyAlignment="1">
      <alignment horizontal="left" vertical="top" wrapText="1"/>
    </xf>
    <xf numFmtId="0" fontId="42" fillId="36" borderId="53" xfId="0" applyFont="1" applyFill="1" applyBorder="1" applyAlignment="1">
      <alignment horizontal="left" vertical="top" wrapText="1"/>
    </xf>
    <xf numFmtId="0" fontId="42" fillId="36" borderId="54" xfId="0" applyFont="1" applyFill="1" applyBorder="1" applyAlignment="1">
      <alignment horizontal="left" vertical="top" wrapText="1"/>
    </xf>
    <xf numFmtId="0" fontId="41" fillId="0" borderId="51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1" fillId="0" borderId="55" xfId="0" applyFont="1" applyBorder="1" applyAlignment="1">
      <alignment horizontal="left" vertical="top" wrapText="1"/>
    </xf>
    <xf numFmtId="0" fontId="42" fillId="37" borderId="68" xfId="0" applyFont="1" applyFill="1" applyBorder="1" applyAlignment="1">
      <alignment vertical="center" wrapText="1"/>
    </xf>
    <xf numFmtId="0" fontId="42" fillId="37" borderId="15" xfId="0" applyFont="1" applyFill="1" applyBorder="1" applyAlignment="1">
      <alignment vertical="center" wrapText="1"/>
    </xf>
    <xf numFmtId="0" fontId="42" fillId="37" borderId="69" xfId="0" applyFont="1" applyFill="1" applyBorder="1" applyAlignment="1">
      <alignment vertical="center" wrapText="1"/>
    </xf>
    <xf numFmtId="0" fontId="38" fillId="37" borderId="68" xfId="0" applyFont="1" applyFill="1" applyBorder="1" applyAlignment="1">
      <alignment vertical="center" wrapText="1"/>
    </xf>
    <xf numFmtId="0" fontId="38" fillId="37" borderId="15" xfId="0" applyFont="1" applyFill="1" applyBorder="1" applyAlignment="1">
      <alignment vertical="center" wrapText="1"/>
    </xf>
    <xf numFmtId="0" fontId="38" fillId="37" borderId="69" xfId="0" applyFont="1" applyFill="1" applyBorder="1" applyAlignment="1">
      <alignment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152400</xdr:rowOff>
    </xdr:from>
    <xdr:to>
      <xdr:col>1</xdr:col>
      <xdr:colOff>38100</xdr:colOff>
      <xdr:row>4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38150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DOS\Desktop\Reforma%20da%20Secret&#225;rio%20de%20Planelamento\Planilha%20Or&#231;ament&#225;ria%20Secret&#225;ria%20de%20Desenvolvi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Plan17"/>
      <sheetName val="Plan18"/>
      <sheetName val="Plan19"/>
      <sheetName val="Plan20"/>
      <sheetName val="Plan21"/>
      <sheetName val="Plan22"/>
      <sheetName val="Plan23"/>
      <sheetName val="Plan24"/>
      <sheetName val="Plan25"/>
      <sheetName val="Plan26"/>
      <sheetName val="Plan27"/>
      <sheetName val="Plan28"/>
      <sheetName val="Plan29"/>
      <sheetName val="Plan30"/>
      <sheetName val="Plan 1"/>
      <sheetName val="cronograma"/>
    </sheetNames>
    <sheetDataSet>
      <sheetData sheetId="30">
        <row r="4">
          <cell r="D4" t="str">
            <v>LOCAL: MAROBÁ - PRESIDENTE KENNEDY - 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23"/>
  <sheetViews>
    <sheetView showZeros="0" tabSelected="1" view="pageBreakPreview" zoomScaleNormal="90" zoomScaleSheetLayoutView="100" workbookViewId="0" topLeftCell="A1">
      <selection activeCell="B174" sqref="B174"/>
    </sheetView>
  </sheetViews>
  <sheetFormatPr defaultColWidth="11.421875" defaultRowHeight="12.75"/>
  <cols>
    <col min="1" max="1" width="11.421875" style="104" customWidth="1"/>
    <col min="2" max="2" width="11.28125" style="65" customWidth="1"/>
    <col min="3" max="3" width="13.00390625" style="65" customWidth="1"/>
    <col min="4" max="4" width="10.7109375" style="109" customWidth="1"/>
    <col min="5" max="5" width="13.00390625" style="110" customWidth="1"/>
    <col min="6" max="6" width="10.7109375" style="110" customWidth="1"/>
    <col min="7" max="7" width="48.421875" style="110" customWidth="1"/>
    <col min="8" max="8" width="6.28125" style="63" customWidth="1"/>
    <col min="9" max="9" width="8.8515625" style="111" customWidth="1"/>
    <col min="10" max="10" width="12.28125" style="112" customWidth="1"/>
    <col min="11" max="11" width="14.57421875" style="108" customWidth="1"/>
    <col min="12" max="12" width="13.7109375" style="2" customWidth="1"/>
    <col min="13" max="18" width="11.421875" style="1" customWidth="1"/>
    <col min="19" max="19" width="6.57421875" style="1" customWidth="1"/>
    <col min="20" max="20" width="11.421875" style="1" customWidth="1"/>
    <col min="21" max="21" width="4.7109375" style="1" customWidth="1"/>
    <col min="22" max="16384" width="11.421875" style="1" customWidth="1"/>
  </cols>
  <sheetData>
    <row r="1" spans="1:65" s="8" customFormat="1" ht="22.5" customHeight="1" thickBot="1">
      <c r="A1" s="330" t="s">
        <v>19</v>
      </c>
      <c r="B1" s="331"/>
      <c r="C1" s="331"/>
      <c r="D1" s="331"/>
      <c r="E1" s="331"/>
      <c r="F1" s="331"/>
      <c r="G1" s="331"/>
      <c r="H1" s="331"/>
      <c r="I1" s="331"/>
      <c r="J1" s="331"/>
      <c r="K1" s="332"/>
      <c r="L1" s="4"/>
      <c r="M1" s="5"/>
      <c r="N1" s="4"/>
      <c r="O1" s="3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1:65" s="8" customFormat="1" ht="25.5" customHeight="1">
      <c r="A2" s="327"/>
      <c r="B2" s="349" t="s">
        <v>256</v>
      </c>
      <c r="C2" s="349"/>
      <c r="D2" s="350"/>
      <c r="E2" s="333" t="s">
        <v>563</v>
      </c>
      <c r="F2" s="334"/>
      <c r="G2" s="334"/>
      <c r="H2" s="334"/>
      <c r="I2" s="334"/>
      <c r="J2" s="334"/>
      <c r="K2" s="335"/>
      <c r="L2" s="9"/>
      <c r="M2" s="10"/>
      <c r="N2" s="4"/>
      <c r="O2" s="3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65" s="8" customFormat="1" ht="18" customHeight="1" thickBot="1">
      <c r="A3" s="328"/>
      <c r="B3" s="351"/>
      <c r="C3" s="351"/>
      <c r="D3" s="352"/>
      <c r="E3" s="336" t="s">
        <v>564</v>
      </c>
      <c r="F3" s="337"/>
      <c r="G3" s="337"/>
      <c r="H3" s="337"/>
      <c r="I3" s="337"/>
      <c r="J3" s="337"/>
      <c r="K3" s="338"/>
      <c r="L3" s="11"/>
      <c r="M3" s="12"/>
      <c r="N3" s="4"/>
      <c r="O3" s="3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1:65" s="8" customFormat="1" ht="18" customHeight="1">
      <c r="A4" s="328"/>
      <c r="B4" s="353" t="s">
        <v>16</v>
      </c>
      <c r="C4" s="353"/>
      <c r="D4" s="354"/>
      <c r="E4" s="339" t="s">
        <v>816</v>
      </c>
      <c r="F4" s="340"/>
      <c r="G4" s="340"/>
      <c r="H4" s="340"/>
      <c r="I4" s="341"/>
      <c r="J4" s="345" t="s">
        <v>518</v>
      </c>
      <c r="K4" s="347">
        <f>K255</f>
        <v>366406.0753451001</v>
      </c>
      <c r="L4" s="13"/>
      <c r="M4" s="14"/>
      <c r="N4" s="4"/>
      <c r="O4" s="3"/>
      <c r="P4" s="6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s="8" customFormat="1" ht="18" customHeight="1" thickBot="1">
      <c r="A5" s="329"/>
      <c r="B5" s="355"/>
      <c r="C5" s="355"/>
      <c r="D5" s="356"/>
      <c r="E5" s="342"/>
      <c r="F5" s="343"/>
      <c r="G5" s="343"/>
      <c r="H5" s="343"/>
      <c r="I5" s="344"/>
      <c r="J5" s="346"/>
      <c r="K5" s="348"/>
      <c r="L5" s="15"/>
      <c r="M5" s="16"/>
      <c r="N5" s="4"/>
      <c r="O5" s="3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s="8" customFormat="1" ht="15" customHeight="1">
      <c r="A6" s="373" t="s">
        <v>18</v>
      </c>
      <c r="B6" s="393" t="s">
        <v>351</v>
      </c>
      <c r="C6" s="393" t="s">
        <v>287</v>
      </c>
      <c r="D6" s="397" t="s">
        <v>259</v>
      </c>
      <c r="E6" s="345"/>
      <c r="F6" s="345"/>
      <c r="G6" s="393"/>
      <c r="H6" s="399" t="s">
        <v>302</v>
      </c>
      <c r="I6" s="399" t="s">
        <v>20</v>
      </c>
      <c r="J6" s="401" t="s">
        <v>301</v>
      </c>
      <c r="K6" s="395" t="s">
        <v>17</v>
      </c>
      <c r="L6" s="17"/>
      <c r="M6" s="3"/>
      <c r="N6" s="4"/>
      <c r="O6" s="3"/>
      <c r="P6" s="6"/>
      <c r="Q6" s="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65" s="8" customFormat="1" ht="15" customHeight="1" thickBot="1">
      <c r="A7" s="374"/>
      <c r="B7" s="394"/>
      <c r="C7" s="394"/>
      <c r="D7" s="398"/>
      <c r="E7" s="346"/>
      <c r="F7" s="346"/>
      <c r="G7" s="394"/>
      <c r="H7" s="400"/>
      <c r="I7" s="400"/>
      <c r="J7" s="402"/>
      <c r="K7" s="396"/>
      <c r="L7" s="18"/>
      <c r="M7" s="19"/>
      <c r="N7" s="20"/>
      <c r="O7" s="3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65" s="64" customFormat="1" ht="14.25" customHeight="1">
      <c r="A8" s="256" t="s">
        <v>67</v>
      </c>
      <c r="B8" s="84"/>
      <c r="C8" s="85"/>
      <c r="D8" s="365" t="s">
        <v>0</v>
      </c>
      <c r="E8" s="365"/>
      <c r="F8" s="365"/>
      <c r="G8" s="365"/>
      <c r="H8" s="79"/>
      <c r="I8" s="86"/>
      <c r="J8" s="87"/>
      <c r="K8" s="83">
        <f>SUM(K9:K16)</f>
        <v>3716.072</v>
      </c>
      <c r="L8" s="21"/>
      <c r="M8" s="3"/>
      <c r="N8" s="22"/>
      <c r="O8" s="22"/>
      <c r="P8" s="23"/>
      <c r="Q8" s="22"/>
      <c r="R8" s="24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18" s="22" customFormat="1" ht="14.25" customHeight="1">
      <c r="A9" s="257" t="s">
        <v>68</v>
      </c>
      <c r="B9" s="80"/>
      <c r="C9" s="56"/>
      <c r="D9" s="375" t="s">
        <v>69</v>
      </c>
      <c r="E9" s="375"/>
      <c r="F9" s="375"/>
      <c r="G9" s="375"/>
      <c r="H9" s="56"/>
      <c r="I9" s="88"/>
      <c r="J9" s="88"/>
      <c r="K9" s="89"/>
      <c r="L9" s="21"/>
      <c r="M9" s="3"/>
      <c r="P9" s="25"/>
      <c r="R9" s="24"/>
    </row>
    <row r="10" spans="1:18" s="22" customFormat="1" ht="14.25" customHeight="1">
      <c r="A10" s="258" t="s">
        <v>61</v>
      </c>
      <c r="B10" s="80" t="s">
        <v>289</v>
      </c>
      <c r="C10" s="55" t="s">
        <v>288</v>
      </c>
      <c r="D10" s="90" t="s">
        <v>60</v>
      </c>
      <c r="E10" s="91"/>
      <c r="F10" s="91"/>
      <c r="G10" s="91"/>
      <c r="H10" s="56" t="s">
        <v>59</v>
      </c>
      <c r="I10" s="88">
        <v>9</v>
      </c>
      <c r="J10" s="88">
        <v>19.02</v>
      </c>
      <c r="K10" s="89">
        <f aca="true" t="shared" si="0" ref="K10:K37">I10*J10</f>
        <v>171.18</v>
      </c>
      <c r="L10" s="21"/>
      <c r="M10" s="3"/>
      <c r="O10" s="26"/>
      <c r="P10" s="23"/>
      <c r="R10" s="24"/>
    </row>
    <row r="11" spans="1:18" s="22" customFormat="1" ht="14.25" customHeight="1">
      <c r="A11" s="259" t="s">
        <v>62</v>
      </c>
      <c r="B11" s="80" t="s">
        <v>289</v>
      </c>
      <c r="C11" s="55" t="s">
        <v>291</v>
      </c>
      <c r="D11" s="382" t="s">
        <v>290</v>
      </c>
      <c r="E11" s="367"/>
      <c r="F11" s="367"/>
      <c r="G11" s="368"/>
      <c r="H11" s="56" t="s">
        <v>63</v>
      </c>
      <c r="I11" s="88">
        <v>1.5</v>
      </c>
      <c r="J11" s="88">
        <v>43.9</v>
      </c>
      <c r="K11" s="89">
        <f t="shared" si="0"/>
        <v>65.85</v>
      </c>
      <c r="L11" s="21"/>
      <c r="M11" s="3"/>
      <c r="O11" s="26"/>
      <c r="P11" s="23"/>
      <c r="R11" s="24"/>
    </row>
    <row r="12" spans="1:17" s="70" customFormat="1" ht="15" customHeight="1">
      <c r="A12" s="258" t="s">
        <v>356</v>
      </c>
      <c r="B12" s="80" t="s">
        <v>289</v>
      </c>
      <c r="C12" s="55" t="s">
        <v>335</v>
      </c>
      <c r="D12" s="357" t="s">
        <v>184</v>
      </c>
      <c r="E12" s="357"/>
      <c r="F12" s="357"/>
      <c r="G12" s="357"/>
      <c r="H12" s="56" t="s">
        <v>35</v>
      </c>
      <c r="I12" s="92">
        <v>38</v>
      </c>
      <c r="J12" s="93">
        <v>10.89</v>
      </c>
      <c r="K12" s="89">
        <f>I12*J12</f>
        <v>413.82000000000005</v>
      </c>
      <c r="L12" s="35"/>
      <c r="N12" s="32"/>
      <c r="O12" s="71">
        <f>(N12*28%)</f>
        <v>0</v>
      </c>
      <c r="P12" s="72">
        <f>N12+O12</f>
        <v>0</v>
      </c>
      <c r="Q12" s="34"/>
    </row>
    <row r="13" spans="1:17" s="70" customFormat="1" ht="15" customHeight="1">
      <c r="A13" s="258" t="s">
        <v>357</v>
      </c>
      <c r="B13" s="80" t="s">
        <v>289</v>
      </c>
      <c r="C13" s="55" t="s">
        <v>347</v>
      </c>
      <c r="D13" s="391" t="s">
        <v>219</v>
      </c>
      <c r="E13" s="391"/>
      <c r="F13" s="391"/>
      <c r="G13" s="391"/>
      <c r="H13" s="56" t="s">
        <v>35</v>
      </c>
      <c r="I13" s="92">
        <v>165</v>
      </c>
      <c r="J13" s="93">
        <v>8.09</v>
      </c>
      <c r="K13" s="89">
        <f>I13*J13</f>
        <v>1334.85</v>
      </c>
      <c r="L13" s="35"/>
      <c r="N13" s="32"/>
      <c r="O13" s="71">
        <f>(N13*28%)</f>
        <v>0</v>
      </c>
      <c r="P13" s="72">
        <f>N13+O13</f>
        <v>0</v>
      </c>
      <c r="Q13" s="34"/>
    </row>
    <row r="14" spans="1:18" s="22" customFormat="1" ht="14.25" customHeight="1">
      <c r="A14" s="259" t="s">
        <v>371</v>
      </c>
      <c r="B14" s="80" t="s">
        <v>289</v>
      </c>
      <c r="C14" s="55" t="s">
        <v>370</v>
      </c>
      <c r="D14" s="382" t="s">
        <v>369</v>
      </c>
      <c r="E14" s="367"/>
      <c r="F14" s="367"/>
      <c r="G14" s="368"/>
      <c r="H14" s="56" t="s">
        <v>21</v>
      </c>
      <c r="I14" s="88">
        <v>39.6</v>
      </c>
      <c r="J14" s="88">
        <v>1.82</v>
      </c>
      <c r="K14" s="89">
        <f>I14*J14</f>
        <v>72.072</v>
      </c>
      <c r="L14" s="21"/>
      <c r="M14" s="3"/>
      <c r="O14" s="26"/>
      <c r="P14" s="23"/>
      <c r="R14" s="24"/>
    </row>
    <row r="15" spans="1:18" s="22" customFormat="1" ht="14.25" customHeight="1">
      <c r="A15" s="257" t="s">
        <v>37</v>
      </c>
      <c r="B15" s="80"/>
      <c r="C15" s="55"/>
      <c r="D15" s="375" t="s">
        <v>64</v>
      </c>
      <c r="E15" s="375"/>
      <c r="F15" s="375"/>
      <c r="G15" s="375"/>
      <c r="H15" s="56"/>
      <c r="I15" s="88"/>
      <c r="J15" s="88"/>
      <c r="K15" s="89">
        <f t="shared" si="0"/>
        <v>0</v>
      </c>
      <c r="L15" s="21"/>
      <c r="M15" s="3"/>
      <c r="P15" s="25"/>
      <c r="R15" s="24"/>
    </row>
    <row r="16" spans="1:18" s="22" customFormat="1" ht="14.25" customHeight="1">
      <c r="A16" s="258" t="s">
        <v>76</v>
      </c>
      <c r="B16" s="80" t="s">
        <v>289</v>
      </c>
      <c r="C16" s="55" t="s">
        <v>292</v>
      </c>
      <c r="D16" s="382" t="s">
        <v>65</v>
      </c>
      <c r="E16" s="367"/>
      <c r="F16" s="367"/>
      <c r="G16" s="368"/>
      <c r="H16" s="56" t="s">
        <v>59</v>
      </c>
      <c r="I16" s="88">
        <v>515</v>
      </c>
      <c r="J16" s="88">
        <v>3.22</v>
      </c>
      <c r="K16" s="89">
        <f t="shared" si="0"/>
        <v>1658.3000000000002</v>
      </c>
      <c r="L16" s="21"/>
      <c r="M16" s="3"/>
      <c r="O16" s="26"/>
      <c r="P16" s="23"/>
      <c r="R16" s="24"/>
    </row>
    <row r="17" spans="1:18" s="22" customFormat="1" ht="14.25" customHeight="1">
      <c r="A17" s="256" t="s">
        <v>75</v>
      </c>
      <c r="B17" s="84"/>
      <c r="C17" s="85"/>
      <c r="D17" s="365" t="s">
        <v>74</v>
      </c>
      <c r="E17" s="365"/>
      <c r="F17" s="365"/>
      <c r="G17" s="365"/>
      <c r="H17" s="79"/>
      <c r="I17" s="86"/>
      <c r="J17" s="87"/>
      <c r="K17" s="83">
        <f>SUM(K19:K27)</f>
        <v>30827.9125</v>
      </c>
      <c r="L17" s="21"/>
      <c r="M17" s="3"/>
      <c r="P17" s="25"/>
      <c r="R17" s="24"/>
    </row>
    <row r="18" spans="1:18" s="22" customFormat="1" ht="14.25" customHeight="1">
      <c r="A18" s="257" t="s">
        <v>1</v>
      </c>
      <c r="B18" s="80"/>
      <c r="C18" s="55"/>
      <c r="D18" s="375" t="s">
        <v>293</v>
      </c>
      <c r="E18" s="375"/>
      <c r="F18" s="375"/>
      <c r="G18" s="375"/>
      <c r="H18" s="56"/>
      <c r="I18" s="88"/>
      <c r="J18" s="88"/>
      <c r="K18" s="89">
        <f t="shared" si="0"/>
        <v>0</v>
      </c>
      <c r="L18" s="21"/>
      <c r="M18" s="3"/>
      <c r="P18" s="25"/>
      <c r="R18" s="24"/>
    </row>
    <row r="19" spans="1:18" s="22" customFormat="1" ht="12.75">
      <c r="A19" s="258" t="s">
        <v>77</v>
      </c>
      <c r="B19" s="81" t="s">
        <v>289</v>
      </c>
      <c r="C19" s="318" t="s">
        <v>789</v>
      </c>
      <c r="D19" s="357" t="s">
        <v>788</v>
      </c>
      <c r="E19" s="357"/>
      <c r="F19" s="357"/>
      <c r="G19" s="357"/>
      <c r="H19" s="56" t="s">
        <v>21</v>
      </c>
      <c r="I19" s="88">
        <v>91.95</v>
      </c>
      <c r="J19" s="88">
        <v>122.55</v>
      </c>
      <c r="K19" s="89">
        <f t="shared" si="0"/>
        <v>11268.4725</v>
      </c>
      <c r="L19" s="21"/>
      <c r="M19" s="3"/>
      <c r="P19" s="25"/>
      <c r="R19" s="24"/>
    </row>
    <row r="20" spans="1:18" s="22" customFormat="1" ht="14.25" customHeight="1">
      <c r="A20" s="258" t="s">
        <v>81</v>
      </c>
      <c r="B20" s="80" t="s">
        <v>289</v>
      </c>
      <c r="C20" s="55" t="s">
        <v>294</v>
      </c>
      <c r="D20" s="90" t="s">
        <v>78</v>
      </c>
      <c r="E20" s="91"/>
      <c r="F20" s="91"/>
      <c r="G20" s="91"/>
      <c r="H20" s="56" t="s">
        <v>59</v>
      </c>
      <c r="I20" s="88">
        <v>8</v>
      </c>
      <c r="J20" s="88">
        <v>188.97</v>
      </c>
      <c r="K20" s="89">
        <f t="shared" si="0"/>
        <v>1511.76</v>
      </c>
      <c r="L20" s="21"/>
      <c r="M20" s="3"/>
      <c r="O20" s="26"/>
      <c r="P20" s="23"/>
      <c r="R20" s="24"/>
    </row>
    <row r="21" spans="1:18" s="22" customFormat="1" ht="14.25" customHeight="1">
      <c r="A21" s="259" t="s">
        <v>82</v>
      </c>
      <c r="B21" s="80" t="s">
        <v>289</v>
      </c>
      <c r="C21" s="55" t="s">
        <v>295</v>
      </c>
      <c r="D21" s="90" t="s">
        <v>79</v>
      </c>
      <c r="E21" s="91"/>
      <c r="F21" s="91"/>
      <c r="G21" s="91"/>
      <c r="H21" s="56" t="s">
        <v>21</v>
      </c>
      <c r="I21" s="88">
        <v>30</v>
      </c>
      <c r="J21" s="88">
        <v>8.42</v>
      </c>
      <c r="K21" s="89">
        <f t="shared" si="0"/>
        <v>252.6</v>
      </c>
      <c r="L21" s="21"/>
      <c r="M21" s="3"/>
      <c r="O21" s="26"/>
      <c r="P21" s="23"/>
      <c r="R21" s="24"/>
    </row>
    <row r="22" spans="1:18" s="22" customFormat="1" ht="14.25" customHeight="1">
      <c r="A22" s="257" t="s">
        <v>23</v>
      </c>
      <c r="B22" s="80"/>
      <c r="C22" s="55"/>
      <c r="D22" s="390" t="s">
        <v>66</v>
      </c>
      <c r="E22" s="390"/>
      <c r="F22" s="390"/>
      <c r="G22" s="390"/>
      <c r="H22" s="56"/>
      <c r="I22" s="88"/>
      <c r="J22" s="88"/>
      <c r="K22" s="89">
        <f t="shared" si="0"/>
        <v>0</v>
      </c>
      <c r="L22" s="21"/>
      <c r="M22" s="3"/>
      <c r="P22" s="25"/>
      <c r="R22" s="24"/>
    </row>
    <row r="23" spans="1:18" s="22" customFormat="1" ht="26.25" customHeight="1">
      <c r="A23" s="258" t="s">
        <v>80</v>
      </c>
      <c r="B23" s="80" t="s">
        <v>289</v>
      </c>
      <c r="C23" s="55" t="s">
        <v>296</v>
      </c>
      <c r="D23" s="357" t="s">
        <v>84</v>
      </c>
      <c r="E23" s="357"/>
      <c r="F23" s="357"/>
      <c r="G23" s="357"/>
      <c r="H23" s="56" t="s">
        <v>59</v>
      </c>
      <c r="I23" s="88">
        <v>10</v>
      </c>
      <c r="J23" s="88">
        <v>567.43</v>
      </c>
      <c r="K23" s="89">
        <f t="shared" si="0"/>
        <v>5674.299999999999</v>
      </c>
      <c r="L23" s="21"/>
      <c r="M23" s="3"/>
      <c r="P23" s="25"/>
      <c r="R23" s="24"/>
    </row>
    <row r="24" spans="1:18" s="22" customFormat="1" ht="24" customHeight="1">
      <c r="A24" s="258" t="s">
        <v>87</v>
      </c>
      <c r="B24" s="80" t="s">
        <v>289</v>
      </c>
      <c r="C24" s="55" t="s">
        <v>297</v>
      </c>
      <c r="D24" s="357" t="s">
        <v>83</v>
      </c>
      <c r="E24" s="357"/>
      <c r="F24" s="357"/>
      <c r="G24" s="357"/>
      <c r="H24" s="56" t="s">
        <v>59</v>
      </c>
      <c r="I24" s="88">
        <v>8</v>
      </c>
      <c r="J24" s="88">
        <v>396.2</v>
      </c>
      <c r="K24" s="89">
        <f t="shared" si="0"/>
        <v>3169.6</v>
      </c>
      <c r="L24" s="21"/>
      <c r="M24" s="3"/>
      <c r="P24" s="25"/>
      <c r="R24" s="24"/>
    </row>
    <row r="25" spans="1:18" s="22" customFormat="1" ht="15.75" customHeight="1">
      <c r="A25" s="258" t="s">
        <v>88</v>
      </c>
      <c r="B25" s="80" t="s">
        <v>289</v>
      </c>
      <c r="C25" s="55" t="s">
        <v>298</v>
      </c>
      <c r="D25" s="90" t="s">
        <v>85</v>
      </c>
      <c r="E25" s="91"/>
      <c r="F25" s="91"/>
      <c r="G25" s="91"/>
      <c r="H25" s="56" t="s">
        <v>35</v>
      </c>
      <c r="I25" s="88">
        <v>1</v>
      </c>
      <c r="J25" s="88">
        <v>1284.23</v>
      </c>
      <c r="K25" s="89">
        <f t="shared" si="0"/>
        <v>1284.23</v>
      </c>
      <c r="L25" s="21"/>
      <c r="M25" s="3"/>
      <c r="O25" s="26"/>
      <c r="P25" s="23"/>
      <c r="R25" s="24"/>
    </row>
    <row r="26" spans="1:18" s="22" customFormat="1" ht="24.75" customHeight="1">
      <c r="A26" s="258" t="s">
        <v>89</v>
      </c>
      <c r="B26" s="80" t="s">
        <v>289</v>
      </c>
      <c r="C26" s="55" t="s">
        <v>299</v>
      </c>
      <c r="D26" s="357" t="s">
        <v>86</v>
      </c>
      <c r="E26" s="357"/>
      <c r="F26" s="357"/>
      <c r="G26" s="357"/>
      <c r="H26" s="56" t="s">
        <v>21</v>
      </c>
      <c r="I26" s="88">
        <v>40</v>
      </c>
      <c r="J26" s="88">
        <v>31.86</v>
      </c>
      <c r="K26" s="89">
        <f t="shared" si="0"/>
        <v>1274.4</v>
      </c>
      <c r="L26" s="21"/>
      <c r="M26" s="3"/>
      <c r="P26" s="25"/>
      <c r="R26" s="24"/>
    </row>
    <row r="27" spans="1:18" s="22" customFormat="1" ht="24.75" customHeight="1">
      <c r="A27" s="258" t="s">
        <v>91</v>
      </c>
      <c r="B27" s="80" t="s">
        <v>289</v>
      </c>
      <c r="C27" s="55" t="s">
        <v>300</v>
      </c>
      <c r="D27" s="357" t="s">
        <v>90</v>
      </c>
      <c r="E27" s="357"/>
      <c r="F27" s="357"/>
      <c r="G27" s="357"/>
      <c r="H27" s="56" t="s">
        <v>21</v>
      </c>
      <c r="I27" s="88">
        <v>15</v>
      </c>
      <c r="J27" s="88">
        <v>426.17</v>
      </c>
      <c r="K27" s="89">
        <f t="shared" si="0"/>
        <v>6392.55</v>
      </c>
      <c r="L27" s="21"/>
      <c r="M27" s="3"/>
      <c r="P27" s="25"/>
      <c r="R27" s="24"/>
    </row>
    <row r="28" spans="1:18" s="22" customFormat="1" ht="14.25" customHeight="1">
      <c r="A28" s="256" t="s">
        <v>94</v>
      </c>
      <c r="B28" s="84"/>
      <c r="C28" s="85"/>
      <c r="D28" s="365" t="s">
        <v>92</v>
      </c>
      <c r="E28" s="365"/>
      <c r="F28" s="365"/>
      <c r="G28" s="365"/>
      <c r="H28" s="79"/>
      <c r="I28" s="86"/>
      <c r="J28" s="87"/>
      <c r="K28" s="83">
        <f>SUM(K30)</f>
        <v>38809.77084</v>
      </c>
      <c r="L28" s="21"/>
      <c r="M28" s="3"/>
      <c r="P28" s="25"/>
      <c r="R28" s="24"/>
    </row>
    <row r="29" spans="1:18" s="22" customFormat="1" ht="14.25" customHeight="1">
      <c r="A29" s="257" t="s">
        <v>2</v>
      </c>
      <c r="B29" s="80"/>
      <c r="C29" s="55"/>
      <c r="D29" s="375" t="s">
        <v>93</v>
      </c>
      <c r="E29" s="375"/>
      <c r="F29" s="375"/>
      <c r="G29" s="375"/>
      <c r="H29" s="56"/>
      <c r="I29" s="88"/>
      <c r="J29" s="88"/>
      <c r="K29" s="89">
        <f t="shared" si="0"/>
        <v>0</v>
      </c>
      <c r="L29" s="21"/>
      <c r="M29" s="3"/>
      <c r="P29" s="25"/>
      <c r="R29" s="24"/>
    </row>
    <row r="30" spans="1:18" s="22" customFormat="1" ht="15" customHeight="1">
      <c r="A30" s="258" t="s">
        <v>401</v>
      </c>
      <c r="B30" s="80" t="s">
        <v>289</v>
      </c>
      <c r="C30" s="55" t="s">
        <v>303</v>
      </c>
      <c r="D30" s="391" t="s">
        <v>418</v>
      </c>
      <c r="E30" s="391"/>
      <c r="F30" s="391"/>
      <c r="G30" s="391"/>
      <c r="H30" s="56" t="s">
        <v>63</v>
      </c>
      <c r="I30" s="88">
        <f>402.52*0.9</f>
        <v>362.268</v>
      </c>
      <c r="J30" s="88">
        <v>107.13</v>
      </c>
      <c r="K30" s="89">
        <f t="shared" si="0"/>
        <v>38809.77084</v>
      </c>
      <c r="L30" s="21"/>
      <c r="M30" s="3"/>
      <c r="O30" s="26"/>
      <c r="P30" s="23"/>
      <c r="R30" s="24"/>
    </row>
    <row r="31" spans="1:18" s="22" customFormat="1" ht="14.25" customHeight="1">
      <c r="A31" s="256">
        <v>4</v>
      </c>
      <c r="B31" s="84"/>
      <c r="C31" s="85"/>
      <c r="D31" s="365" t="s">
        <v>96</v>
      </c>
      <c r="E31" s="365"/>
      <c r="F31" s="365"/>
      <c r="G31" s="365"/>
      <c r="H31" s="79"/>
      <c r="I31" s="86"/>
      <c r="J31" s="87"/>
      <c r="K31" s="83">
        <f>SUM(K33:K34)</f>
        <v>1924.12</v>
      </c>
      <c r="L31" s="21"/>
      <c r="M31" s="3"/>
      <c r="P31" s="25"/>
      <c r="R31" s="24"/>
    </row>
    <row r="32" spans="1:18" s="22" customFormat="1" ht="14.25" customHeight="1">
      <c r="A32" s="257" t="s">
        <v>3</v>
      </c>
      <c r="B32" s="80"/>
      <c r="C32" s="56"/>
      <c r="D32" s="375" t="s">
        <v>95</v>
      </c>
      <c r="E32" s="375"/>
      <c r="F32" s="375"/>
      <c r="G32" s="375"/>
      <c r="H32" s="56"/>
      <c r="I32" s="88"/>
      <c r="J32" s="88"/>
      <c r="K32" s="89">
        <f t="shared" si="0"/>
        <v>0</v>
      </c>
      <c r="L32" s="21"/>
      <c r="M32" s="3"/>
      <c r="P32" s="25"/>
      <c r="R32" s="24"/>
    </row>
    <row r="33" spans="1:18" s="22" customFormat="1" ht="27" customHeight="1">
      <c r="A33" s="259" t="s">
        <v>70</v>
      </c>
      <c r="B33" s="81" t="s">
        <v>289</v>
      </c>
      <c r="C33" s="318" t="s">
        <v>790</v>
      </c>
      <c r="D33" s="357" t="s">
        <v>807</v>
      </c>
      <c r="E33" s="357"/>
      <c r="F33" s="357"/>
      <c r="G33" s="357"/>
      <c r="H33" s="56" t="s">
        <v>63</v>
      </c>
      <c r="I33" s="88">
        <v>2</v>
      </c>
      <c r="J33" s="88">
        <v>527.06</v>
      </c>
      <c r="K33" s="89">
        <f t="shared" si="0"/>
        <v>1054.12</v>
      </c>
      <c r="L33" s="21"/>
      <c r="M33" s="3"/>
      <c r="P33" s="25"/>
      <c r="R33" s="24"/>
    </row>
    <row r="34" spans="1:18" s="22" customFormat="1" ht="15" customHeight="1">
      <c r="A34" s="259" t="s">
        <v>393</v>
      </c>
      <c r="B34" s="80" t="s">
        <v>289</v>
      </c>
      <c r="C34" s="55" t="s">
        <v>304</v>
      </c>
      <c r="D34" s="90" t="s">
        <v>178</v>
      </c>
      <c r="E34" s="91"/>
      <c r="F34" s="91"/>
      <c r="G34" s="91"/>
      <c r="H34" s="56" t="s">
        <v>179</v>
      </c>
      <c r="I34" s="88">
        <v>120</v>
      </c>
      <c r="J34" s="88">
        <v>7.25</v>
      </c>
      <c r="K34" s="89">
        <f t="shared" si="0"/>
        <v>870</v>
      </c>
      <c r="L34" s="21"/>
      <c r="M34" s="3"/>
      <c r="O34" s="26"/>
      <c r="P34" s="23"/>
      <c r="R34" s="24"/>
    </row>
    <row r="35" spans="1:18" s="22" customFormat="1" ht="13.5" customHeight="1">
      <c r="A35" s="256">
        <v>5</v>
      </c>
      <c r="B35" s="84"/>
      <c r="C35" s="85"/>
      <c r="D35" s="365" t="s">
        <v>97</v>
      </c>
      <c r="E35" s="365"/>
      <c r="F35" s="365"/>
      <c r="G35" s="365"/>
      <c r="H35" s="79"/>
      <c r="I35" s="86"/>
      <c r="J35" s="87"/>
      <c r="K35" s="83">
        <f>SUM(K37:K41)</f>
        <v>13847.904719999999</v>
      </c>
      <c r="L35" s="21"/>
      <c r="M35" s="3"/>
      <c r="P35" s="23"/>
      <c r="R35" s="24"/>
    </row>
    <row r="36" spans="1:18" s="22" customFormat="1" ht="13.5" customHeight="1">
      <c r="A36" s="257" t="s">
        <v>4</v>
      </c>
      <c r="B36" s="80"/>
      <c r="C36" s="55"/>
      <c r="D36" s="375" t="s">
        <v>305</v>
      </c>
      <c r="E36" s="375"/>
      <c r="F36" s="375"/>
      <c r="G36" s="375"/>
      <c r="H36" s="56"/>
      <c r="I36" s="88"/>
      <c r="J36" s="88"/>
      <c r="K36" s="89">
        <f t="shared" si="0"/>
        <v>0</v>
      </c>
      <c r="L36" s="21"/>
      <c r="M36" s="3"/>
      <c r="P36" s="25"/>
      <c r="R36" s="24"/>
    </row>
    <row r="37" spans="1:18" s="22" customFormat="1" ht="12.75">
      <c r="A37" s="258" t="s">
        <v>99</v>
      </c>
      <c r="B37" s="80" t="s">
        <v>289</v>
      </c>
      <c r="C37" s="55" t="s">
        <v>307</v>
      </c>
      <c r="D37" s="357" t="s">
        <v>306</v>
      </c>
      <c r="E37" s="357"/>
      <c r="F37" s="357"/>
      <c r="G37" s="357"/>
      <c r="H37" s="56" t="s">
        <v>59</v>
      </c>
      <c r="I37" s="88">
        <v>8.82</v>
      </c>
      <c r="J37" s="88">
        <v>419.26</v>
      </c>
      <c r="K37" s="89">
        <f t="shared" si="0"/>
        <v>3697.8732</v>
      </c>
      <c r="L37" s="21"/>
      <c r="M37" s="3"/>
      <c r="P37" s="25"/>
      <c r="R37" s="24"/>
    </row>
    <row r="38" spans="1:18" s="22" customFormat="1" ht="24.75" customHeight="1">
      <c r="A38" s="258" t="s">
        <v>402</v>
      </c>
      <c r="B38" s="80" t="s">
        <v>289</v>
      </c>
      <c r="C38" s="55" t="s">
        <v>367</v>
      </c>
      <c r="D38" s="357" t="s">
        <v>366</v>
      </c>
      <c r="E38" s="357"/>
      <c r="F38" s="357"/>
      <c r="G38" s="357"/>
      <c r="H38" s="56" t="s">
        <v>35</v>
      </c>
      <c r="I38" s="88">
        <v>3</v>
      </c>
      <c r="J38" s="88">
        <v>394.01</v>
      </c>
      <c r="K38" s="89">
        <f>I38*J38</f>
        <v>1182.03</v>
      </c>
      <c r="L38" s="21"/>
      <c r="M38" s="3"/>
      <c r="P38" s="25"/>
      <c r="R38" s="24"/>
    </row>
    <row r="39" spans="1:18" s="22" customFormat="1" ht="13.5" customHeight="1">
      <c r="A39" s="257" t="s">
        <v>308</v>
      </c>
      <c r="B39" s="80"/>
      <c r="C39" s="55"/>
      <c r="D39" s="375" t="s">
        <v>309</v>
      </c>
      <c r="E39" s="375"/>
      <c r="F39" s="375"/>
      <c r="G39" s="375"/>
      <c r="H39" s="56"/>
      <c r="I39" s="88"/>
      <c r="J39" s="88"/>
      <c r="K39" s="89"/>
      <c r="L39" s="21"/>
      <c r="M39" s="3"/>
      <c r="P39" s="25"/>
      <c r="R39" s="24"/>
    </row>
    <row r="40" spans="1:18" s="22" customFormat="1" ht="39" customHeight="1">
      <c r="A40" s="260" t="s">
        <v>310</v>
      </c>
      <c r="B40" s="80" t="s">
        <v>289</v>
      </c>
      <c r="C40" s="55" t="s">
        <v>311</v>
      </c>
      <c r="D40" s="357" t="s">
        <v>98</v>
      </c>
      <c r="E40" s="357"/>
      <c r="F40" s="357"/>
      <c r="G40" s="357"/>
      <c r="H40" s="61" t="s">
        <v>59</v>
      </c>
      <c r="I40" s="92">
        <v>4</v>
      </c>
      <c r="J40" s="54">
        <v>48.9</v>
      </c>
      <c r="K40" s="89">
        <f>I40*J40</f>
        <v>195.6</v>
      </c>
      <c r="L40" s="21"/>
      <c r="M40" s="3"/>
      <c r="O40" s="23"/>
      <c r="R40" s="24"/>
    </row>
    <row r="41" spans="1:18" s="22" customFormat="1" ht="37.5" customHeight="1">
      <c r="A41" s="260" t="s">
        <v>808</v>
      </c>
      <c r="B41" s="80" t="s">
        <v>289</v>
      </c>
      <c r="C41" s="55" t="s">
        <v>414</v>
      </c>
      <c r="D41" s="357" t="s">
        <v>413</v>
      </c>
      <c r="E41" s="357"/>
      <c r="F41" s="357"/>
      <c r="G41" s="357"/>
      <c r="H41" s="61" t="s">
        <v>59</v>
      </c>
      <c r="I41" s="92">
        <f>41.97*1.2</f>
        <v>50.364</v>
      </c>
      <c r="J41" s="54">
        <v>174.18</v>
      </c>
      <c r="K41" s="89">
        <f>I41*J41</f>
        <v>8772.40152</v>
      </c>
      <c r="L41" s="21"/>
      <c r="M41" s="3"/>
      <c r="O41" s="23"/>
      <c r="R41" s="24"/>
    </row>
    <row r="42" spans="1:18" s="22" customFormat="1" ht="13.5" customHeight="1">
      <c r="A42" s="256">
        <v>6</v>
      </c>
      <c r="B42" s="84"/>
      <c r="C42" s="85"/>
      <c r="D42" s="365" t="s">
        <v>566</v>
      </c>
      <c r="E42" s="365"/>
      <c r="F42" s="365"/>
      <c r="G42" s="365"/>
      <c r="H42" s="79"/>
      <c r="I42" s="86"/>
      <c r="J42" s="87"/>
      <c r="K42" s="83">
        <f>SUM(K44:K51)</f>
        <v>9966.837734</v>
      </c>
      <c r="L42" s="21"/>
      <c r="M42" s="3"/>
      <c r="P42" s="25"/>
      <c r="R42" s="24"/>
    </row>
    <row r="43" spans="1:18" s="22" customFormat="1" ht="13.5" customHeight="1">
      <c r="A43" s="257" t="s">
        <v>5</v>
      </c>
      <c r="B43" s="80"/>
      <c r="C43" s="55"/>
      <c r="D43" s="375" t="s">
        <v>782</v>
      </c>
      <c r="E43" s="375"/>
      <c r="F43" s="375"/>
      <c r="G43" s="375"/>
      <c r="H43" s="56"/>
      <c r="I43" s="88"/>
      <c r="J43" s="88"/>
      <c r="K43" s="89"/>
      <c r="L43" s="21"/>
      <c r="M43" s="3"/>
      <c r="P43" s="25"/>
      <c r="R43" s="24"/>
    </row>
    <row r="44" spans="1:18" s="22" customFormat="1" ht="26.25" customHeight="1">
      <c r="A44" s="260" t="s">
        <v>100</v>
      </c>
      <c r="B44" s="80" t="s">
        <v>289</v>
      </c>
      <c r="C44" s="55" t="s">
        <v>312</v>
      </c>
      <c r="D44" s="376" t="s">
        <v>791</v>
      </c>
      <c r="E44" s="377"/>
      <c r="F44" s="377"/>
      <c r="G44" s="378"/>
      <c r="H44" s="61" t="s">
        <v>35</v>
      </c>
      <c r="I44" s="88">
        <v>2</v>
      </c>
      <c r="J44" s="88">
        <v>217.02</v>
      </c>
      <c r="K44" s="89">
        <f>I44*J44</f>
        <v>434.04</v>
      </c>
      <c r="L44" s="21"/>
      <c r="M44" s="3"/>
      <c r="O44" s="25"/>
      <c r="R44" s="24"/>
    </row>
    <row r="45" spans="1:18" s="22" customFormat="1" ht="27.75" customHeight="1">
      <c r="A45" s="260" t="s">
        <v>101</v>
      </c>
      <c r="B45" s="80" t="s">
        <v>289</v>
      </c>
      <c r="C45" s="55" t="s">
        <v>313</v>
      </c>
      <c r="D45" s="376" t="s">
        <v>792</v>
      </c>
      <c r="E45" s="377"/>
      <c r="F45" s="377"/>
      <c r="G45" s="378"/>
      <c r="H45" s="61" t="s">
        <v>35</v>
      </c>
      <c r="I45" s="88">
        <v>4</v>
      </c>
      <c r="J45" s="88">
        <v>217.02</v>
      </c>
      <c r="K45" s="89">
        <f>I45*J45</f>
        <v>868.08</v>
      </c>
      <c r="L45" s="21"/>
      <c r="M45" s="3"/>
      <c r="O45" s="25"/>
      <c r="R45" s="24"/>
    </row>
    <row r="46" spans="1:18" s="22" customFormat="1" ht="37.5" customHeight="1">
      <c r="A46" s="260" t="s">
        <v>102</v>
      </c>
      <c r="B46" s="81" t="s">
        <v>289</v>
      </c>
      <c r="C46" s="318" t="s">
        <v>794</v>
      </c>
      <c r="D46" s="366" t="s">
        <v>806</v>
      </c>
      <c r="E46" s="367"/>
      <c r="F46" s="367"/>
      <c r="G46" s="368"/>
      <c r="H46" s="61" t="s">
        <v>35</v>
      </c>
      <c r="I46" s="88">
        <v>2</v>
      </c>
      <c r="J46" s="88">
        <v>713.78</v>
      </c>
      <c r="K46" s="89">
        <f>I46*J46</f>
        <v>1427.56</v>
      </c>
      <c r="L46" s="21"/>
      <c r="M46" s="3"/>
      <c r="O46" s="25"/>
      <c r="R46" s="24"/>
    </row>
    <row r="47" spans="1:18" s="22" customFormat="1" ht="37.5" customHeight="1">
      <c r="A47" s="260" t="s">
        <v>783</v>
      </c>
      <c r="B47" s="81" t="s">
        <v>289</v>
      </c>
      <c r="C47" s="318" t="s">
        <v>795</v>
      </c>
      <c r="D47" s="366" t="s">
        <v>793</v>
      </c>
      <c r="E47" s="367"/>
      <c r="F47" s="367"/>
      <c r="G47" s="368"/>
      <c r="H47" s="61" t="s">
        <v>35</v>
      </c>
      <c r="I47" s="88">
        <v>4</v>
      </c>
      <c r="J47" s="88">
        <v>739.07</v>
      </c>
      <c r="K47" s="89">
        <f>I47*J47</f>
        <v>2956.28</v>
      </c>
      <c r="L47" s="21"/>
      <c r="M47" s="3"/>
      <c r="O47" s="25"/>
      <c r="R47" s="24"/>
    </row>
    <row r="48" spans="1:18" s="22" customFormat="1" ht="24.75" customHeight="1">
      <c r="A48" s="260" t="s">
        <v>784</v>
      </c>
      <c r="B48" s="113" t="s">
        <v>526</v>
      </c>
      <c r="C48" s="318"/>
      <c r="D48" s="357" t="s">
        <v>785</v>
      </c>
      <c r="E48" s="357"/>
      <c r="F48" s="357"/>
      <c r="G48" s="357"/>
      <c r="H48" s="61" t="s">
        <v>35</v>
      </c>
      <c r="I48" s="88">
        <v>1</v>
      </c>
      <c r="J48" s="88">
        <f>'COMP 01'!C37</f>
        <v>479.06258399999996</v>
      </c>
      <c r="K48" s="89">
        <f>I48*J48</f>
        <v>479.06258399999996</v>
      </c>
      <c r="L48" s="21"/>
      <c r="M48" s="3"/>
      <c r="O48" s="25"/>
      <c r="R48" s="24"/>
    </row>
    <row r="49" spans="1:18" s="22" customFormat="1" ht="13.5" customHeight="1">
      <c r="A49" s="257" t="s">
        <v>39</v>
      </c>
      <c r="B49" s="80"/>
      <c r="C49" s="55"/>
      <c r="D49" s="375" t="s">
        <v>567</v>
      </c>
      <c r="E49" s="375"/>
      <c r="F49" s="375"/>
      <c r="G49" s="375"/>
      <c r="H49" s="56"/>
      <c r="I49" s="88"/>
      <c r="J49" s="88"/>
      <c r="K49" s="89">
        <f aca="true" t="shared" si="1" ref="K49:K60">I49*J49</f>
        <v>0</v>
      </c>
      <c r="L49" s="21"/>
      <c r="M49" s="3"/>
      <c r="P49" s="25"/>
      <c r="R49" s="24"/>
    </row>
    <row r="50" spans="1:18" s="22" customFormat="1" ht="13.5" customHeight="1">
      <c r="A50" s="261" t="s">
        <v>180</v>
      </c>
      <c r="B50" s="113" t="s">
        <v>315</v>
      </c>
      <c r="C50" s="318" t="s">
        <v>352</v>
      </c>
      <c r="D50" s="382" t="s">
        <v>394</v>
      </c>
      <c r="E50" s="367"/>
      <c r="F50" s="367"/>
      <c r="G50" s="368"/>
      <c r="H50" s="61" t="s">
        <v>35</v>
      </c>
      <c r="I50" s="88">
        <v>1</v>
      </c>
      <c r="J50" s="88">
        <f>1503.35*1.309</f>
        <v>1967.8851499999998</v>
      </c>
      <c r="K50" s="89">
        <f>I50*J50</f>
        <v>1967.8851499999998</v>
      </c>
      <c r="L50" s="21"/>
      <c r="M50" s="3"/>
      <c r="O50" s="25"/>
      <c r="R50" s="24"/>
    </row>
    <row r="51" spans="1:18" s="22" customFormat="1" ht="27" customHeight="1">
      <c r="A51" s="261" t="s">
        <v>181</v>
      </c>
      <c r="B51" s="80" t="s">
        <v>361</v>
      </c>
      <c r="C51" s="318" t="s">
        <v>400</v>
      </c>
      <c r="D51" s="357" t="s">
        <v>399</v>
      </c>
      <c r="E51" s="357"/>
      <c r="F51" s="357"/>
      <c r="G51" s="357"/>
      <c r="H51" s="61" t="s">
        <v>59</v>
      </c>
      <c r="I51" s="88">
        <v>2.4</v>
      </c>
      <c r="J51" s="88">
        <f>621.25*1.23</f>
        <v>764.1375</v>
      </c>
      <c r="K51" s="89">
        <f>I51*J51</f>
        <v>1833.93</v>
      </c>
      <c r="L51" s="21"/>
      <c r="M51" s="3"/>
      <c r="O51" s="25"/>
      <c r="R51" s="24"/>
    </row>
    <row r="52" spans="1:18" s="22" customFormat="1" ht="13.5" customHeight="1">
      <c r="A52" s="256" t="s">
        <v>103</v>
      </c>
      <c r="B52" s="84"/>
      <c r="C52" s="85"/>
      <c r="D52" s="365" t="s">
        <v>314</v>
      </c>
      <c r="E52" s="365"/>
      <c r="F52" s="365"/>
      <c r="G52" s="365"/>
      <c r="H52" s="79"/>
      <c r="I52" s="86"/>
      <c r="J52" s="87"/>
      <c r="K52" s="83">
        <f>SUM(K54:K56)</f>
        <v>13357.6762023</v>
      </c>
      <c r="L52" s="21"/>
      <c r="M52" s="3"/>
      <c r="P52" s="25"/>
      <c r="R52" s="24"/>
    </row>
    <row r="53" spans="1:18" s="22" customFormat="1" ht="13.5" customHeight="1">
      <c r="A53" s="257" t="s">
        <v>6</v>
      </c>
      <c r="B53" s="80"/>
      <c r="C53" s="55"/>
      <c r="D53" s="375" t="s">
        <v>105</v>
      </c>
      <c r="E53" s="375"/>
      <c r="F53" s="375"/>
      <c r="G53" s="375"/>
      <c r="H53" s="56"/>
      <c r="I53" s="88"/>
      <c r="J53" s="88"/>
      <c r="K53" s="89">
        <f t="shared" si="1"/>
        <v>0</v>
      </c>
      <c r="L53" s="21"/>
      <c r="M53" s="3"/>
      <c r="P53" s="25"/>
      <c r="R53" s="24"/>
    </row>
    <row r="54" spans="1:18" s="22" customFormat="1" ht="26.25" customHeight="1">
      <c r="A54" s="258" t="s">
        <v>104</v>
      </c>
      <c r="B54" s="113" t="s">
        <v>315</v>
      </c>
      <c r="C54" s="318" t="s">
        <v>398</v>
      </c>
      <c r="D54" s="357" t="s">
        <v>397</v>
      </c>
      <c r="E54" s="357"/>
      <c r="F54" s="357"/>
      <c r="G54" s="357"/>
      <c r="H54" s="61" t="s">
        <v>59</v>
      </c>
      <c r="I54" s="88">
        <v>46.89</v>
      </c>
      <c r="J54" s="54">
        <f>203.23*1.309</f>
        <v>266.02806999999996</v>
      </c>
      <c r="K54" s="89">
        <f t="shared" si="1"/>
        <v>12474.056202299998</v>
      </c>
      <c r="L54" s="21"/>
      <c r="M54" s="3"/>
      <c r="O54" s="23"/>
      <c r="R54" s="30"/>
    </row>
    <row r="55" spans="1:18" s="22" customFormat="1" ht="13.5" customHeight="1">
      <c r="A55" s="257" t="s">
        <v>568</v>
      </c>
      <c r="B55" s="113"/>
      <c r="C55" s="55"/>
      <c r="D55" s="375" t="s">
        <v>108</v>
      </c>
      <c r="E55" s="375"/>
      <c r="F55" s="375"/>
      <c r="G55" s="375"/>
      <c r="H55" s="56"/>
      <c r="I55" s="88"/>
      <c r="J55" s="88"/>
      <c r="K55" s="89">
        <f t="shared" si="1"/>
        <v>0</v>
      </c>
      <c r="L55" s="21"/>
      <c r="M55" s="3"/>
      <c r="P55" s="25"/>
      <c r="R55" s="24"/>
    </row>
    <row r="56" spans="1:18" s="22" customFormat="1" ht="26.25" customHeight="1">
      <c r="A56" s="260" t="s">
        <v>569</v>
      </c>
      <c r="B56" s="80" t="s">
        <v>289</v>
      </c>
      <c r="C56" s="55" t="s">
        <v>316</v>
      </c>
      <c r="D56" s="357" t="s">
        <v>38</v>
      </c>
      <c r="E56" s="357"/>
      <c r="F56" s="357"/>
      <c r="G56" s="357"/>
      <c r="H56" s="61" t="s">
        <v>59</v>
      </c>
      <c r="I56" s="92">
        <v>2</v>
      </c>
      <c r="J56" s="54">
        <v>441.81</v>
      </c>
      <c r="K56" s="89">
        <f t="shared" si="1"/>
        <v>883.62</v>
      </c>
      <c r="L56" s="21"/>
      <c r="M56" s="3"/>
      <c r="O56" s="23"/>
      <c r="R56" s="24"/>
    </row>
    <row r="57" spans="1:18" s="22" customFormat="1" ht="13.5" customHeight="1">
      <c r="A57" s="256" t="s">
        <v>570</v>
      </c>
      <c r="B57" s="84"/>
      <c r="C57" s="85"/>
      <c r="D57" s="365" t="s">
        <v>317</v>
      </c>
      <c r="E57" s="365"/>
      <c r="F57" s="365"/>
      <c r="G57" s="365"/>
      <c r="H57" s="79"/>
      <c r="I57" s="86"/>
      <c r="J57" s="87"/>
      <c r="K57" s="83">
        <f>SUM(K59:K60)</f>
        <v>612.528</v>
      </c>
      <c r="L57" s="21"/>
      <c r="M57" s="3"/>
      <c r="P57" s="25"/>
      <c r="R57" s="24"/>
    </row>
    <row r="58" spans="1:18" s="22" customFormat="1" ht="13.5" customHeight="1">
      <c r="A58" s="257" t="s">
        <v>7</v>
      </c>
      <c r="B58" s="80"/>
      <c r="C58" s="55"/>
      <c r="D58" s="375" t="s">
        <v>353</v>
      </c>
      <c r="E58" s="375"/>
      <c r="F58" s="375"/>
      <c r="G58" s="375"/>
      <c r="H58" s="56"/>
      <c r="I58" s="88"/>
      <c r="J58" s="88"/>
      <c r="K58" s="89">
        <f>I58*J58</f>
        <v>0</v>
      </c>
      <c r="L58" s="21"/>
      <c r="M58" s="3"/>
      <c r="P58" s="25"/>
      <c r="R58" s="24"/>
    </row>
    <row r="59" spans="1:18" s="22" customFormat="1" ht="27" customHeight="1">
      <c r="A59" s="258" t="s">
        <v>106</v>
      </c>
      <c r="B59" s="113" t="s">
        <v>289</v>
      </c>
      <c r="C59" s="318" t="s">
        <v>815</v>
      </c>
      <c r="D59" s="357" t="s">
        <v>814</v>
      </c>
      <c r="E59" s="386"/>
      <c r="F59" s="386"/>
      <c r="G59" s="386"/>
      <c r="H59" s="56" t="s">
        <v>59</v>
      </c>
      <c r="I59" s="88">
        <v>2.1</v>
      </c>
      <c r="J59" s="88">
        <v>125.86</v>
      </c>
      <c r="K59" s="89">
        <f t="shared" si="1"/>
        <v>264.306</v>
      </c>
      <c r="L59" s="21"/>
      <c r="M59" s="3"/>
      <c r="P59" s="25"/>
      <c r="R59" s="24"/>
    </row>
    <row r="60" spans="1:18" s="22" customFormat="1" ht="24.75" customHeight="1">
      <c r="A60" s="258" t="s">
        <v>107</v>
      </c>
      <c r="B60" s="113" t="s">
        <v>289</v>
      </c>
      <c r="C60" s="55" t="s">
        <v>396</v>
      </c>
      <c r="D60" s="357" t="s">
        <v>395</v>
      </c>
      <c r="E60" s="357"/>
      <c r="F60" s="357"/>
      <c r="G60" s="357"/>
      <c r="H60" s="61" t="s">
        <v>59</v>
      </c>
      <c r="I60" s="92">
        <v>2.1</v>
      </c>
      <c r="J60" s="54">
        <v>165.82</v>
      </c>
      <c r="K60" s="89">
        <f t="shared" si="1"/>
        <v>348.222</v>
      </c>
      <c r="L60" s="21"/>
      <c r="M60" s="3"/>
      <c r="O60" s="23"/>
      <c r="R60" s="24"/>
    </row>
    <row r="61" spans="1:18" s="22" customFormat="1" ht="13.5" customHeight="1">
      <c r="A61" s="256" t="s">
        <v>110</v>
      </c>
      <c r="B61" s="84"/>
      <c r="C61" s="85"/>
      <c r="D61" s="365" t="s">
        <v>109</v>
      </c>
      <c r="E61" s="365"/>
      <c r="F61" s="365"/>
      <c r="G61" s="365"/>
      <c r="H61" s="79"/>
      <c r="I61" s="86"/>
      <c r="J61" s="87"/>
      <c r="K61" s="83">
        <f>SUM(K63)</f>
        <v>19002.352600000002</v>
      </c>
      <c r="L61" s="21"/>
      <c r="M61" s="3"/>
      <c r="P61" s="25"/>
      <c r="R61" s="24"/>
    </row>
    <row r="62" spans="1:18" s="22" customFormat="1" ht="27" customHeight="1">
      <c r="A62" s="257" t="s">
        <v>354</v>
      </c>
      <c r="B62" s="80"/>
      <c r="C62" s="55"/>
      <c r="D62" s="379" t="s">
        <v>318</v>
      </c>
      <c r="E62" s="379"/>
      <c r="F62" s="379"/>
      <c r="G62" s="379"/>
      <c r="H62" s="56"/>
      <c r="I62" s="88"/>
      <c r="J62" s="88"/>
      <c r="K62" s="89">
        <f>I62*J62</f>
        <v>0</v>
      </c>
      <c r="L62" s="21"/>
      <c r="M62" s="3"/>
      <c r="P62" s="25"/>
      <c r="R62" s="24"/>
    </row>
    <row r="63" spans="1:18" s="22" customFormat="1" ht="38.25" customHeight="1">
      <c r="A63" s="260" t="s">
        <v>355</v>
      </c>
      <c r="B63" s="80" t="s">
        <v>289</v>
      </c>
      <c r="C63" s="55" t="s">
        <v>319</v>
      </c>
      <c r="D63" s="357" t="s">
        <v>813</v>
      </c>
      <c r="E63" s="357"/>
      <c r="F63" s="357"/>
      <c r="G63" s="357"/>
      <c r="H63" s="61" t="s">
        <v>59</v>
      </c>
      <c r="I63" s="92">
        <v>112.42</v>
      </c>
      <c r="J63" s="54">
        <v>169.03</v>
      </c>
      <c r="K63" s="89">
        <f>I63*J63</f>
        <v>19002.352600000002</v>
      </c>
      <c r="L63" s="21"/>
      <c r="M63" s="3"/>
      <c r="O63" s="23"/>
      <c r="R63" s="24"/>
    </row>
    <row r="64" spans="1:18" s="22" customFormat="1" ht="13.5" customHeight="1">
      <c r="A64" s="256" t="s">
        <v>274</v>
      </c>
      <c r="B64" s="84"/>
      <c r="C64" s="85"/>
      <c r="D64" s="365" t="s">
        <v>111</v>
      </c>
      <c r="E64" s="365"/>
      <c r="F64" s="365"/>
      <c r="G64" s="365"/>
      <c r="H64" s="79"/>
      <c r="I64" s="86"/>
      <c r="J64" s="87"/>
      <c r="K64" s="83">
        <f>SUM(K66)</f>
        <v>2473.9035000000003</v>
      </c>
      <c r="L64" s="21"/>
      <c r="M64" s="3"/>
      <c r="P64" s="25"/>
      <c r="R64" s="24"/>
    </row>
    <row r="65" spans="1:18" s="22" customFormat="1" ht="13.5" customHeight="1">
      <c r="A65" s="257" t="s">
        <v>8</v>
      </c>
      <c r="B65" s="80"/>
      <c r="C65" s="55"/>
      <c r="D65" s="375" t="s">
        <v>112</v>
      </c>
      <c r="E65" s="375"/>
      <c r="F65" s="375"/>
      <c r="G65" s="375"/>
      <c r="H65" s="56"/>
      <c r="I65" s="88"/>
      <c r="J65" s="88"/>
      <c r="K65" s="89">
        <f>I65*J65</f>
        <v>0</v>
      </c>
      <c r="L65" s="21"/>
      <c r="M65" s="3"/>
      <c r="P65" s="25"/>
      <c r="R65" s="24"/>
    </row>
    <row r="66" spans="1:18" s="22" customFormat="1" ht="13.5" customHeight="1">
      <c r="A66" s="260" t="s">
        <v>115</v>
      </c>
      <c r="B66" s="80" t="s">
        <v>289</v>
      </c>
      <c r="C66" s="55" t="s">
        <v>320</v>
      </c>
      <c r="D66" s="357" t="s">
        <v>113</v>
      </c>
      <c r="E66" s="357"/>
      <c r="F66" s="357"/>
      <c r="G66" s="357"/>
      <c r="H66" s="61" t="s">
        <v>59</v>
      </c>
      <c r="I66" s="92">
        <v>73.65</v>
      </c>
      <c r="J66" s="54">
        <v>33.59</v>
      </c>
      <c r="K66" s="89">
        <f>I66*J66</f>
        <v>2473.9035000000003</v>
      </c>
      <c r="L66" s="21"/>
      <c r="M66" s="3"/>
      <c r="O66" s="23"/>
      <c r="R66" s="24"/>
    </row>
    <row r="67" spans="1:18" s="22" customFormat="1" ht="12" customHeight="1">
      <c r="A67" s="256" t="s">
        <v>275</v>
      </c>
      <c r="B67" s="84"/>
      <c r="C67" s="85"/>
      <c r="D67" s="365" t="s">
        <v>114</v>
      </c>
      <c r="E67" s="365"/>
      <c r="F67" s="365"/>
      <c r="G67" s="365"/>
      <c r="H67" s="79"/>
      <c r="I67" s="86"/>
      <c r="J67" s="87"/>
      <c r="K67" s="83">
        <f>SUM(K69:K75)</f>
        <v>34841.750449800005</v>
      </c>
      <c r="L67" s="21"/>
      <c r="M67" s="3"/>
      <c r="O67" s="23"/>
      <c r="R67" s="24"/>
    </row>
    <row r="68" spans="1:18" s="22" customFormat="1" ht="12" customHeight="1">
      <c r="A68" s="262" t="s">
        <v>9</v>
      </c>
      <c r="B68" s="80"/>
      <c r="C68" s="56"/>
      <c r="D68" s="379" t="s">
        <v>116</v>
      </c>
      <c r="E68" s="379"/>
      <c r="F68" s="379"/>
      <c r="G68" s="379"/>
      <c r="H68" s="61"/>
      <c r="I68" s="92"/>
      <c r="J68" s="54"/>
      <c r="K68" s="89"/>
      <c r="L68" s="21"/>
      <c r="M68" s="3"/>
      <c r="O68" s="23"/>
      <c r="R68" s="24"/>
    </row>
    <row r="69" spans="1:15" s="22" customFormat="1" ht="25.5" customHeight="1">
      <c r="A69" s="258" t="s">
        <v>255</v>
      </c>
      <c r="B69" s="80" t="s">
        <v>361</v>
      </c>
      <c r="C69" s="325">
        <v>130300255</v>
      </c>
      <c r="D69" s="360" t="s">
        <v>805</v>
      </c>
      <c r="E69" s="360"/>
      <c r="F69" s="360"/>
      <c r="G69" s="360"/>
      <c r="H69" s="56" t="s">
        <v>59</v>
      </c>
      <c r="I69" s="92">
        <v>137.58</v>
      </c>
      <c r="J69" s="54">
        <f>59.52*1.23</f>
        <v>73.20960000000001</v>
      </c>
      <c r="K69" s="89">
        <f aca="true" t="shared" si="2" ref="K69:K87">I69*J69</f>
        <v>10072.176768000003</v>
      </c>
      <c r="L69" s="21"/>
      <c r="M69" s="3"/>
      <c r="O69" s="23"/>
    </row>
    <row r="70" spans="1:15" s="22" customFormat="1" ht="25.5" customHeight="1">
      <c r="A70" s="258" t="s">
        <v>571</v>
      </c>
      <c r="B70" s="80" t="s">
        <v>315</v>
      </c>
      <c r="C70" s="56">
        <v>87242</v>
      </c>
      <c r="D70" s="360" t="s">
        <v>804</v>
      </c>
      <c r="E70" s="360"/>
      <c r="F70" s="360"/>
      <c r="G70" s="360"/>
      <c r="H70" s="56" t="s">
        <v>59</v>
      </c>
      <c r="I70" s="92">
        <v>17.54</v>
      </c>
      <c r="J70" s="54">
        <f>165.13*1.309</f>
        <v>216.15517</v>
      </c>
      <c r="K70" s="89">
        <f t="shared" si="2"/>
        <v>3791.3616817999996</v>
      </c>
      <c r="L70" s="21"/>
      <c r="M70" s="3"/>
      <c r="O70" s="23"/>
    </row>
    <row r="71" spans="1:18" s="22" customFormat="1" ht="39" customHeight="1">
      <c r="A71" s="258" t="s">
        <v>572</v>
      </c>
      <c r="B71" s="81" t="s">
        <v>289</v>
      </c>
      <c r="C71" s="62">
        <v>120236</v>
      </c>
      <c r="D71" s="357" t="s">
        <v>519</v>
      </c>
      <c r="E71" s="357"/>
      <c r="F71" s="357"/>
      <c r="G71" s="357"/>
      <c r="H71" s="61" t="s">
        <v>59</v>
      </c>
      <c r="I71" s="92">
        <v>114.22</v>
      </c>
      <c r="J71" s="54">
        <v>58.33</v>
      </c>
      <c r="K71" s="89">
        <f t="shared" si="2"/>
        <v>6662.4526</v>
      </c>
      <c r="L71" s="21"/>
      <c r="M71" s="3"/>
      <c r="O71" s="23"/>
      <c r="R71" s="24"/>
    </row>
    <row r="72" spans="1:18" s="22" customFormat="1" ht="12" customHeight="1">
      <c r="A72" s="262" t="s">
        <v>573</v>
      </c>
      <c r="B72" s="80"/>
      <c r="C72" s="56"/>
      <c r="D72" s="379" t="s">
        <v>322</v>
      </c>
      <c r="E72" s="379"/>
      <c r="F72" s="379"/>
      <c r="G72" s="379"/>
      <c r="H72" s="61"/>
      <c r="I72" s="92"/>
      <c r="J72" s="54"/>
      <c r="K72" s="89">
        <f t="shared" si="2"/>
        <v>0</v>
      </c>
      <c r="L72" s="21"/>
      <c r="M72" s="3"/>
      <c r="O72" s="23"/>
      <c r="R72" s="24"/>
    </row>
    <row r="73" spans="1:15" s="22" customFormat="1" ht="27.75" customHeight="1">
      <c r="A73" s="258" t="s">
        <v>574</v>
      </c>
      <c r="B73" s="80" t="s">
        <v>289</v>
      </c>
      <c r="C73" s="56">
        <v>120308</v>
      </c>
      <c r="D73" s="360" t="s">
        <v>117</v>
      </c>
      <c r="E73" s="360"/>
      <c r="F73" s="360"/>
      <c r="G73" s="360"/>
      <c r="H73" s="56" t="s">
        <v>59</v>
      </c>
      <c r="I73" s="92">
        <v>510.61</v>
      </c>
      <c r="J73" s="54">
        <v>5.97</v>
      </c>
      <c r="K73" s="89">
        <f t="shared" si="2"/>
        <v>3048.3417</v>
      </c>
      <c r="L73" s="21"/>
      <c r="M73" s="3"/>
      <c r="O73" s="23"/>
    </row>
    <row r="74" spans="1:15" s="22" customFormat="1" ht="25.5" customHeight="1">
      <c r="A74" s="258" t="s">
        <v>575</v>
      </c>
      <c r="B74" s="80" t="s">
        <v>289</v>
      </c>
      <c r="C74" s="56">
        <v>120301</v>
      </c>
      <c r="D74" s="360" t="s">
        <v>118</v>
      </c>
      <c r="E74" s="360"/>
      <c r="F74" s="360"/>
      <c r="G74" s="360"/>
      <c r="H74" s="56" t="s">
        <v>59</v>
      </c>
      <c r="I74" s="92">
        <v>228.83</v>
      </c>
      <c r="J74" s="54">
        <v>25.77</v>
      </c>
      <c r="K74" s="89">
        <f t="shared" si="2"/>
        <v>5896.9491</v>
      </c>
      <c r="L74" s="21"/>
      <c r="M74" s="3"/>
      <c r="O74" s="23"/>
    </row>
    <row r="75" spans="1:15" s="22" customFormat="1" ht="25.5" customHeight="1">
      <c r="A75" s="258" t="s">
        <v>576</v>
      </c>
      <c r="B75" s="80" t="s">
        <v>289</v>
      </c>
      <c r="C75" s="56">
        <v>120302</v>
      </c>
      <c r="D75" s="360" t="s">
        <v>119</v>
      </c>
      <c r="E75" s="360"/>
      <c r="F75" s="360"/>
      <c r="G75" s="360"/>
      <c r="H75" s="56" t="s">
        <v>59</v>
      </c>
      <c r="I75" s="92">
        <v>296.22</v>
      </c>
      <c r="J75" s="54">
        <v>18.13</v>
      </c>
      <c r="K75" s="89">
        <f t="shared" si="2"/>
        <v>5370.4686</v>
      </c>
      <c r="L75" s="21"/>
      <c r="M75" s="3"/>
      <c r="O75" s="23"/>
    </row>
    <row r="76" spans="1:18" s="22" customFormat="1" ht="12" customHeight="1">
      <c r="A76" s="256" t="s">
        <v>120</v>
      </c>
      <c r="B76" s="84"/>
      <c r="C76" s="85"/>
      <c r="D76" s="365" t="s">
        <v>14</v>
      </c>
      <c r="E76" s="365"/>
      <c r="F76" s="365"/>
      <c r="G76" s="365"/>
      <c r="H76" s="79"/>
      <c r="I76" s="86"/>
      <c r="J76" s="87"/>
      <c r="K76" s="83">
        <f>SUM(K78:K87)</f>
        <v>21716.4102</v>
      </c>
      <c r="L76" s="21"/>
      <c r="M76" s="3"/>
      <c r="O76" s="23"/>
      <c r="R76" s="24"/>
    </row>
    <row r="77" spans="1:18" s="22" customFormat="1" ht="12" customHeight="1">
      <c r="A77" s="262" t="s">
        <v>27</v>
      </c>
      <c r="B77" s="80"/>
      <c r="C77" s="56"/>
      <c r="D77" s="379" t="s">
        <v>121</v>
      </c>
      <c r="E77" s="379"/>
      <c r="F77" s="379"/>
      <c r="G77" s="379"/>
      <c r="H77" s="61"/>
      <c r="I77" s="92"/>
      <c r="J77" s="54"/>
      <c r="K77" s="89">
        <f t="shared" si="2"/>
        <v>0</v>
      </c>
      <c r="L77" s="21"/>
      <c r="M77" s="3"/>
      <c r="O77" s="23"/>
      <c r="R77" s="24"/>
    </row>
    <row r="78" spans="1:15" s="22" customFormat="1" ht="24" customHeight="1">
      <c r="A78" s="258" t="s">
        <v>122</v>
      </c>
      <c r="B78" s="80" t="s">
        <v>289</v>
      </c>
      <c r="C78" s="56">
        <v>130103</v>
      </c>
      <c r="D78" s="360" t="s">
        <v>123</v>
      </c>
      <c r="E78" s="360"/>
      <c r="F78" s="360"/>
      <c r="G78" s="360"/>
      <c r="H78" s="56" t="s">
        <v>59</v>
      </c>
      <c r="I78" s="92">
        <v>98.31</v>
      </c>
      <c r="J78" s="54">
        <v>18.46</v>
      </c>
      <c r="K78" s="89">
        <f t="shared" si="2"/>
        <v>1814.8026000000002</v>
      </c>
      <c r="L78" s="21"/>
      <c r="M78" s="3"/>
      <c r="O78" s="23"/>
    </row>
    <row r="79" spans="1:18" s="22" customFormat="1" ht="12" customHeight="1">
      <c r="A79" s="258" t="s">
        <v>124</v>
      </c>
      <c r="B79" s="80" t="s">
        <v>289</v>
      </c>
      <c r="C79" s="56">
        <v>130110</v>
      </c>
      <c r="D79" s="357" t="s">
        <v>125</v>
      </c>
      <c r="E79" s="357"/>
      <c r="F79" s="357"/>
      <c r="G79" s="357"/>
      <c r="H79" s="61" t="s">
        <v>59</v>
      </c>
      <c r="I79" s="92">
        <v>9</v>
      </c>
      <c r="J79" s="54">
        <v>48.17</v>
      </c>
      <c r="K79" s="89">
        <f t="shared" si="2"/>
        <v>433.53000000000003</v>
      </c>
      <c r="L79" s="21"/>
      <c r="M79" s="3"/>
      <c r="O79" s="23"/>
      <c r="R79" s="24"/>
    </row>
    <row r="80" spans="1:18" s="22" customFormat="1" ht="12" customHeight="1">
      <c r="A80" s="262" t="s">
        <v>10</v>
      </c>
      <c r="B80" s="80"/>
      <c r="C80" s="56"/>
      <c r="D80" s="379" t="s">
        <v>116</v>
      </c>
      <c r="E80" s="379"/>
      <c r="F80" s="379"/>
      <c r="G80" s="379"/>
      <c r="H80" s="61"/>
      <c r="I80" s="92"/>
      <c r="J80" s="54"/>
      <c r="K80" s="89">
        <f t="shared" si="2"/>
        <v>0</v>
      </c>
      <c r="L80" s="21"/>
      <c r="M80" s="3"/>
      <c r="O80" s="23"/>
      <c r="R80" s="24"/>
    </row>
    <row r="81" spans="1:15" s="22" customFormat="1" ht="24" customHeight="1">
      <c r="A81" s="258" t="s">
        <v>126</v>
      </c>
      <c r="B81" s="80" t="s">
        <v>289</v>
      </c>
      <c r="C81" s="56">
        <v>130219</v>
      </c>
      <c r="D81" s="360" t="s">
        <v>127</v>
      </c>
      <c r="E81" s="360"/>
      <c r="F81" s="360"/>
      <c r="G81" s="360"/>
      <c r="H81" s="56" t="s">
        <v>59</v>
      </c>
      <c r="I81" s="92">
        <v>98.31</v>
      </c>
      <c r="J81" s="54">
        <v>65.88</v>
      </c>
      <c r="K81" s="89">
        <f t="shared" si="2"/>
        <v>6476.6628</v>
      </c>
      <c r="L81" s="21"/>
      <c r="M81" s="3"/>
      <c r="O81" s="23"/>
    </row>
    <row r="82" spans="1:15" s="22" customFormat="1" ht="24" customHeight="1">
      <c r="A82" s="258" t="s">
        <v>129</v>
      </c>
      <c r="B82" s="80" t="s">
        <v>289</v>
      </c>
      <c r="C82" s="62">
        <v>130202</v>
      </c>
      <c r="D82" s="360" t="s">
        <v>368</v>
      </c>
      <c r="E82" s="360"/>
      <c r="F82" s="360"/>
      <c r="G82" s="360"/>
      <c r="H82" s="56" t="s">
        <v>59</v>
      </c>
      <c r="I82" s="92">
        <v>115.4</v>
      </c>
      <c r="J82" s="54">
        <v>40.61</v>
      </c>
      <c r="K82" s="89">
        <f>I82*J82</f>
        <v>4686.394</v>
      </c>
      <c r="L82" s="21"/>
      <c r="M82" s="3"/>
      <c r="O82" s="23"/>
    </row>
    <row r="83" spans="1:18" s="22" customFormat="1" ht="12" customHeight="1">
      <c r="A83" s="262" t="s">
        <v>577</v>
      </c>
      <c r="B83" s="80"/>
      <c r="C83" s="56"/>
      <c r="D83" s="379" t="s">
        <v>128</v>
      </c>
      <c r="E83" s="379"/>
      <c r="F83" s="379"/>
      <c r="G83" s="379"/>
      <c r="H83" s="61"/>
      <c r="I83" s="92"/>
      <c r="J83" s="54"/>
      <c r="K83" s="89">
        <f t="shared" si="2"/>
        <v>0</v>
      </c>
      <c r="L83" s="21"/>
      <c r="M83" s="3"/>
      <c r="O83" s="23"/>
      <c r="R83" s="24"/>
    </row>
    <row r="84" spans="1:18" s="22" customFormat="1" ht="12" customHeight="1">
      <c r="A84" s="258" t="s">
        <v>578</v>
      </c>
      <c r="B84" s="80" t="s">
        <v>289</v>
      </c>
      <c r="C84" s="56">
        <v>130308</v>
      </c>
      <c r="D84" s="357" t="s">
        <v>130</v>
      </c>
      <c r="E84" s="357"/>
      <c r="F84" s="357"/>
      <c r="G84" s="357"/>
      <c r="H84" s="61" t="s">
        <v>21</v>
      </c>
      <c r="I84" s="92">
        <v>7</v>
      </c>
      <c r="J84" s="54">
        <v>57.96</v>
      </c>
      <c r="K84" s="89">
        <f t="shared" si="2"/>
        <v>405.72</v>
      </c>
      <c r="L84" s="21"/>
      <c r="M84" s="3"/>
      <c r="O84" s="23"/>
      <c r="R84" s="24"/>
    </row>
    <row r="85" spans="1:18" s="22" customFormat="1" ht="12" customHeight="1">
      <c r="A85" s="258" t="s">
        <v>579</v>
      </c>
      <c r="B85" s="80" t="s">
        <v>289</v>
      </c>
      <c r="C85" s="56">
        <v>130311</v>
      </c>
      <c r="D85" s="357" t="s">
        <v>131</v>
      </c>
      <c r="E85" s="357"/>
      <c r="F85" s="357"/>
      <c r="G85" s="357"/>
      <c r="H85" s="61" t="s">
        <v>21</v>
      </c>
      <c r="I85" s="92">
        <v>114.5</v>
      </c>
      <c r="J85" s="54">
        <v>15.5</v>
      </c>
      <c r="K85" s="89">
        <f t="shared" si="2"/>
        <v>1774.75</v>
      </c>
      <c r="L85" s="21"/>
      <c r="M85" s="3"/>
      <c r="O85" s="23"/>
      <c r="R85" s="24"/>
    </row>
    <row r="86" spans="1:15" s="22" customFormat="1" ht="29.25" customHeight="1">
      <c r="A86" s="258" t="s">
        <v>580</v>
      </c>
      <c r="B86" s="80" t="s">
        <v>289</v>
      </c>
      <c r="C86" s="56">
        <v>130315</v>
      </c>
      <c r="D86" s="360" t="s">
        <v>132</v>
      </c>
      <c r="E86" s="360"/>
      <c r="F86" s="360"/>
      <c r="G86" s="360"/>
      <c r="H86" s="56" t="s">
        <v>21</v>
      </c>
      <c r="I86" s="92">
        <v>114.5</v>
      </c>
      <c r="J86" s="54">
        <v>42.62</v>
      </c>
      <c r="K86" s="89">
        <f t="shared" si="2"/>
        <v>4879.99</v>
      </c>
      <c r="L86" s="21"/>
      <c r="M86" s="3"/>
      <c r="O86" s="23"/>
    </row>
    <row r="87" spans="1:15" s="22" customFormat="1" ht="12.75">
      <c r="A87" s="258" t="s">
        <v>581</v>
      </c>
      <c r="B87" s="80" t="s">
        <v>289</v>
      </c>
      <c r="C87" s="56">
        <v>130317</v>
      </c>
      <c r="D87" s="360" t="s">
        <v>323</v>
      </c>
      <c r="E87" s="360"/>
      <c r="F87" s="360"/>
      <c r="G87" s="360"/>
      <c r="H87" s="56" t="s">
        <v>21</v>
      </c>
      <c r="I87" s="92">
        <v>16.71</v>
      </c>
      <c r="J87" s="54">
        <v>74.48</v>
      </c>
      <c r="K87" s="89">
        <f t="shared" si="2"/>
        <v>1244.5608000000002</v>
      </c>
      <c r="L87" s="21"/>
      <c r="M87" s="3"/>
      <c r="O87" s="23"/>
    </row>
    <row r="88" spans="1:18" s="58" customFormat="1" ht="12" customHeight="1">
      <c r="A88" s="256" t="s">
        <v>276</v>
      </c>
      <c r="B88" s="84"/>
      <c r="C88" s="85"/>
      <c r="D88" s="365" t="s">
        <v>22</v>
      </c>
      <c r="E88" s="365"/>
      <c r="F88" s="365"/>
      <c r="G88" s="365"/>
      <c r="H88" s="79"/>
      <c r="I88" s="86"/>
      <c r="J88" s="87"/>
      <c r="K88" s="83">
        <f>SUM(K90:K115)</f>
        <v>16137.752399999998</v>
      </c>
      <c r="L88" s="17"/>
      <c r="M88" s="3"/>
      <c r="O88" s="57"/>
      <c r="R88" s="19"/>
    </row>
    <row r="89" spans="1:18" s="22" customFormat="1" ht="12" customHeight="1">
      <c r="A89" s="262" t="s">
        <v>11</v>
      </c>
      <c r="B89" s="80"/>
      <c r="C89" s="56"/>
      <c r="D89" s="375" t="s">
        <v>133</v>
      </c>
      <c r="E89" s="375"/>
      <c r="F89" s="375"/>
      <c r="G89" s="375"/>
      <c r="H89" s="56"/>
      <c r="I89" s="92"/>
      <c r="J89" s="88"/>
      <c r="K89" s="89"/>
      <c r="L89" s="21"/>
      <c r="M89" s="3"/>
      <c r="O89" s="25"/>
      <c r="R89" s="24"/>
    </row>
    <row r="90" spans="1:18" s="22" customFormat="1" ht="30" customHeight="1">
      <c r="A90" s="260" t="s">
        <v>71</v>
      </c>
      <c r="B90" s="80" t="s">
        <v>289</v>
      </c>
      <c r="C90" s="56">
        <v>140102</v>
      </c>
      <c r="D90" s="357" t="s">
        <v>56</v>
      </c>
      <c r="E90" s="357"/>
      <c r="F90" s="357"/>
      <c r="G90" s="357"/>
      <c r="H90" s="56" t="s">
        <v>35</v>
      </c>
      <c r="I90" s="92">
        <v>1</v>
      </c>
      <c r="J90" s="54">
        <v>1579.69</v>
      </c>
      <c r="K90" s="89">
        <f aca="true" t="shared" si="3" ref="K90:K115">I90*J90</f>
        <v>1579.69</v>
      </c>
      <c r="L90" s="21"/>
      <c r="M90" s="3"/>
      <c r="O90" s="23"/>
      <c r="R90" s="24"/>
    </row>
    <row r="91" spans="1:18" s="22" customFormat="1" ht="24.75" customHeight="1">
      <c r="A91" s="260" t="s">
        <v>72</v>
      </c>
      <c r="B91" s="80" t="s">
        <v>289</v>
      </c>
      <c r="C91" s="56">
        <v>140103</v>
      </c>
      <c r="D91" s="357" t="s">
        <v>57</v>
      </c>
      <c r="E91" s="357"/>
      <c r="F91" s="357"/>
      <c r="G91" s="357"/>
      <c r="H91" s="56" t="s">
        <v>35</v>
      </c>
      <c r="I91" s="92">
        <v>1</v>
      </c>
      <c r="J91" s="54">
        <v>2201.32</v>
      </c>
      <c r="K91" s="89">
        <f t="shared" si="3"/>
        <v>2201.32</v>
      </c>
      <c r="L91" s="21"/>
      <c r="M91" s="3"/>
      <c r="O91" s="23"/>
      <c r="R91" s="24"/>
    </row>
    <row r="92" spans="1:18" s="22" customFormat="1" ht="12" customHeight="1">
      <c r="A92" s="262" t="s">
        <v>24</v>
      </c>
      <c r="B92" s="80"/>
      <c r="C92" s="56"/>
      <c r="D92" s="375" t="s">
        <v>134</v>
      </c>
      <c r="E92" s="375"/>
      <c r="F92" s="375"/>
      <c r="G92" s="375"/>
      <c r="H92" s="56"/>
      <c r="I92" s="92"/>
      <c r="J92" s="88"/>
      <c r="K92" s="89">
        <f t="shared" si="3"/>
        <v>0</v>
      </c>
      <c r="L92" s="21"/>
      <c r="M92" s="3"/>
      <c r="O92" s="25"/>
      <c r="R92" s="24"/>
    </row>
    <row r="93" spans="1:18" s="22" customFormat="1" ht="40.5" customHeight="1">
      <c r="A93" s="260" t="s">
        <v>403</v>
      </c>
      <c r="B93" s="80" t="s">
        <v>289</v>
      </c>
      <c r="C93" s="56">
        <v>140201</v>
      </c>
      <c r="D93" s="357" t="s">
        <v>786</v>
      </c>
      <c r="E93" s="357"/>
      <c r="F93" s="357"/>
      <c r="G93" s="357"/>
      <c r="H93" s="56" t="s">
        <v>35</v>
      </c>
      <c r="I93" s="92">
        <v>1</v>
      </c>
      <c r="J93" s="54">
        <v>258.02</v>
      </c>
      <c r="K93" s="89">
        <f t="shared" si="3"/>
        <v>258.02</v>
      </c>
      <c r="L93" s="21"/>
      <c r="M93" s="3"/>
      <c r="O93" s="23"/>
      <c r="R93" s="24"/>
    </row>
    <row r="94" spans="1:18" s="22" customFormat="1" ht="12" customHeight="1">
      <c r="A94" s="262" t="s">
        <v>25</v>
      </c>
      <c r="B94" s="80"/>
      <c r="C94" s="56"/>
      <c r="D94" s="375" t="s">
        <v>135</v>
      </c>
      <c r="E94" s="375"/>
      <c r="F94" s="375"/>
      <c r="G94" s="375"/>
      <c r="H94" s="56"/>
      <c r="I94" s="92"/>
      <c r="J94" s="88"/>
      <c r="K94" s="89">
        <f t="shared" si="3"/>
        <v>0</v>
      </c>
      <c r="L94" s="21"/>
      <c r="M94" s="3"/>
      <c r="O94" s="25"/>
      <c r="R94" s="24"/>
    </row>
    <row r="95" spans="1:18" s="22" customFormat="1" ht="25.5" customHeight="1">
      <c r="A95" s="260" t="s">
        <v>140</v>
      </c>
      <c r="B95" s="81" t="s">
        <v>321</v>
      </c>
      <c r="C95" s="62">
        <v>140601</v>
      </c>
      <c r="D95" s="387" t="s">
        <v>136</v>
      </c>
      <c r="E95" s="388"/>
      <c r="F95" s="388"/>
      <c r="G95" s="389"/>
      <c r="H95" s="56" t="s">
        <v>35</v>
      </c>
      <c r="I95" s="92">
        <v>1</v>
      </c>
      <c r="J95" s="54">
        <f>1501.91*1.309</f>
        <v>1966.00019</v>
      </c>
      <c r="K95" s="89">
        <f t="shared" si="3"/>
        <v>1966.00019</v>
      </c>
      <c r="L95" s="21"/>
      <c r="M95" s="3"/>
      <c r="O95" s="23"/>
      <c r="R95" s="24"/>
    </row>
    <row r="96" spans="1:18" s="22" customFormat="1" ht="24" customHeight="1">
      <c r="A96" s="260" t="s">
        <v>141</v>
      </c>
      <c r="B96" s="81" t="s">
        <v>321</v>
      </c>
      <c r="C96" s="62">
        <v>140602</v>
      </c>
      <c r="D96" s="386" t="s">
        <v>29</v>
      </c>
      <c r="E96" s="386"/>
      <c r="F96" s="386"/>
      <c r="G96" s="386"/>
      <c r="H96" s="56" t="s">
        <v>35</v>
      </c>
      <c r="I96" s="92">
        <v>3</v>
      </c>
      <c r="J96" s="54">
        <f>330.83*1.309</f>
        <v>433.05646999999993</v>
      </c>
      <c r="K96" s="89">
        <f t="shared" si="3"/>
        <v>1299.1694099999997</v>
      </c>
      <c r="L96" s="21"/>
      <c r="M96" s="3"/>
      <c r="O96" s="23"/>
      <c r="R96" s="24"/>
    </row>
    <row r="97" spans="1:18" s="22" customFormat="1" ht="24" customHeight="1">
      <c r="A97" s="260" t="s">
        <v>142</v>
      </c>
      <c r="B97" s="81" t="s">
        <v>321</v>
      </c>
      <c r="C97" s="62">
        <v>140606</v>
      </c>
      <c r="D97" s="386" t="s">
        <v>138</v>
      </c>
      <c r="E97" s="386"/>
      <c r="F97" s="386"/>
      <c r="G97" s="386"/>
      <c r="H97" s="56" t="s">
        <v>35</v>
      </c>
      <c r="I97" s="92">
        <v>3</v>
      </c>
      <c r="J97" s="54">
        <f>255.92*1.309</f>
        <v>334.99927999999994</v>
      </c>
      <c r="K97" s="89">
        <f t="shared" si="3"/>
        <v>1004.9978399999998</v>
      </c>
      <c r="L97" s="21"/>
      <c r="M97" s="3"/>
      <c r="O97" s="23"/>
      <c r="R97" s="24"/>
    </row>
    <row r="98" spans="1:18" s="22" customFormat="1" ht="25.5" customHeight="1">
      <c r="A98" s="260" t="s">
        <v>143</v>
      </c>
      <c r="B98" s="81" t="s">
        <v>321</v>
      </c>
      <c r="C98" s="62">
        <v>140604</v>
      </c>
      <c r="D98" s="386" t="s">
        <v>137</v>
      </c>
      <c r="E98" s="386"/>
      <c r="F98" s="386"/>
      <c r="G98" s="386"/>
      <c r="H98" s="56" t="s">
        <v>35</v>
      </c>
      <c r="I98" s="92">
        <v>1</v>
      </c>
      <c r="J98" s="54">
        <f>411.44*1.309</f>
        <v>538.5749599999999</v>
      </c>
      <c r="K98" s="89">
        <f t="shared" si="3"/>
        <v>538.5749599999999</v>
      </c>
      <c r="L98" s="21"/>
      <c r="M98" s="3"/>
      <c r="O98" s="23"/>
      <c r="R98" s="24"/>
    </row>
    <row r="99" spans="1:18" s="22" customFormat="1" ht="12" customHeight="1">
      <c r="A99" s="262" t="s">
        <v>582</v>
      </c>
      <c r="B99" s="80"/>
      <c r="C99" s="56"/>
      <c r="D99" s="375" t="s">
        <v>139</v>
      </c>
      <c r="E99" s="375"/>
      <c r="F99" s="375"/>
      <c r="G99" s="375"/>
      <c r="H99" s="56"/>
      <c r="I99" s="92"/>
      <c r="J99" s="88"/>
      <c r="K99" s="89">
        <f t="shared" si="3"/>
        <v>0</v>
      </c>
      <c r="L99" s="21"/>
      <c r="M99" s="3"/>
      <c r="O99" s="25"/>
      <c r="R99" s="24"/>
    </row>
    <row r="100" spans="1:18" s="22" customFormat="1" ht="12" customHeight="1">
      <c r="A100" s="260" t="s">
        <v>583</v>
      </c>
      <c r="B100" s="80" t="s">
        <v>289</v>
      </c>
      <c r="C100" s="56">
        <v>140701</v>
      </c>
      <c r="D100" s="386" t="s">
        <v>30</v>
      </c>
      <c r="E100" s="386"/>
      <c r="F100" s="386"/>
      <c r="G100" s="386"/>
      <c r="H100" s="56" t="s">
        <v>73</v>
      </c>
      <c r="I100" s="92">
        <v>5</v>
      </c>
      <c r="J100" s="54">
        <v>74.93</v>
      </c>
      <c r="K100" s="89">
        <f t="shared" si="3"/>
        <v>374.65000000000003</v>
      </c>
      <c r="L100" s="21"/>
      <c r="M100" s="3"/>
      <c r="O100" s="23"/>
      <c r="R100" s="24"/>
    </row>
    <row r="101" spans="1:18" s="22" customFormat="1" ht="12" customHeight="1">
      <c r="A101" s="260" t="s">
        <v>584</v>
      </c>
      <c r="B101" s="80" t="s">
        <v>289</v>
      </c>
      <c r="C101" s="56">
        <v>140702</v>
      </c>
      <c r="D101" s="386" t="s">
        <v>31</v>
      </c>
      <c r="E101" s="386"/>
      <c r="F101" s="386"/>
      <c r="G101" s="386"/>
      <c r="H101" s="56" t="s">
        <v>73</v>
      </c>
      <c r="I101" s="92">
        <v>7</v>
      </c>
      <c r="J101" s="54">
        <v>136.71</v>
      </c>
      <c r="K101" s="89">
        <f t="shared" si="3"/>
        <v>956.97</v>
      </c>
      <c r="L101" s="21"/>
      <c r="M101" s="3"/>
      <c r="O101" s="23"/>
      <c r="R101" s="24"/>
    </row>
    <row r="102" spans="1:18" s="22" customFormat="1" ht="12" customHeight="1">
      <c r="A102" s="260" t="s">
        <v>585</v>
      </c>
      <c r="B102" s="80" t="s">
        <v>289</v>
      </c>
      <c r="C102" s="56">
        <v>140703</v>
      </c>
      <c r="D102" s="386" t="s">
        <v>144</v>
      </c>
      <c r="E102" s="386"/>
      <c r="F102" s="386"/>
      <c r="G102" s="386"/>
      <c r="H102" s="56" t="s">
        <v>73</v>
      </c>
      <c r="I102" s="92">
        <v>2</v>
      </c>
      <c r="J102" s="54">
        <v>274.39</v>
      </c>
      <c r="K102" s="89">
        <f t="shared" si="3"/>
        <v>548.78</v>
      </c>
      <c r="L102" s="21"/>
      <c r="M102" s="3"/>
      <c r="O102" s="23"/>
      <c r="R102" s="24"/>
    </row>
    <row r="103" spans="1:18" s="22" customFormat="1" ht="12" customHeight="1">
      <c r="A103" s="260" t="s">
        <v>586</v>
      </c>
      <c r="B103" s="80" t="s">
        <v>289</v>
      </c>
      <c r="C103" s="56">
        <v>140706</v>
      </c>
      <c r="D103" s="386" t="s">
        <v>32</v>
      </c>
      <c r="E103" s="386"/>
      <c r="F103" s="386"/>
      <c r="G103" s="386"/>
      <c r="H103" s="56" t="s">
        <v>73</v>
      </c>
      <c r="I103" s="92">
        <v>8</v>
      </c>
      <c r="J103" s="54">
        <v>70.5</v>
      </c>
      <c r="K103" s="89">
        <f t="shared" si="3"/>
        <v>564</v>
      </c>
      <c r="L103" s="21"/>
      <c r="M103" s="3"/>
      <c r="O103" s="23"/>
      <c r="R103" s="24"/>
    </row>
    <row r="104" spans="1:18" s="22" customFormat="1" ht="12" customHeight="1">
      <c r="A104" s="260" t="s">
        <v>587</v>
      </c>
      <c r="B104" s="80" t="s">
        <v>289</v>
      </c>
      <c r="C104" s="56">
        <v>140707</v>
      </c>
      <c r="D104" s="386" t="s">
        <v>33</v>
      </c>
      <c r="E104" s="386"/>
      <c r="F104" s="386"/>
      <c r="G104" s="386"/>
      <c r="H104" s="56" t="s">
        <v>73</v>
      </c>
      <c r="I104" s="92">
        <v>4</v>
      </c>
      <c r="J104" s="54">
        <v>126.29</v>
      </c>
      <c r="K104" s="89">
        <f t="shared" si="3"/>
        <v>505.16</v>
      </c>
      <c r="L104" s="21"/>
      <c r="M104" s="3"/>
      <c r="O104" s="23"/>
      <c r="R104" s="24"/>
    </row>
    <row r="105" spans="1:18" s="22" customFormat="1" ht="12" customHeight="1">
      <c r="A105" s="260" t="s">
        <v>588</v>
      </c>
      <c r="B105" s="80" t="s">
        <v>289</v>
      </c>
      <c r="C105" s="56">
        <v>140708</v>
      </c>
      <c r="D105" s="386" t="s">
        <v>145</v>
      </c>
      <c r="E105" s="386"/>
      <c r="F105" s="386"/>
      <c r="G105" s="386"/>
      <c r="H105" s="56" t="s">
        <v>73</v>
      </c>
      <c r="I105" s="92">
        <v>3</v>
      </c>
      <c r="J105" s="54">
        <v>66.86</v>
      </c>
      <c r="K105" s="89">
        <f t="shared" si="3"/>
        <v>200.57999999999998</v>
      </c>
      <c r="L105" s="21"/>
      <c r="M105" s="3"/>
      <c r="O105" s="23"/>
      <c r="R105" s="24"/>
    </row>
    <row r="106" spans="1:18" s="22" customFormat="1" ht="12" customHeight="1">
      <c r="A106" s="262" t="s">
        <v>589</v>
      </c>
      <c r="B106" s="80"/>
      <c r="C106" s="56"/>
      <c r="D106" s="375" t="s">
        <v>146</v>
      </c>
      <c r="E106" s="375"/>
      <c r="F106" s="375"/>
      <c r="G106" s="375"/>
      <c r="H106" s="56"/>
      <c r="I106" s="92"/>
      <c r="J106" s="88"/>
      <c r="K106" s="89">
        <f t="shared" si="3"/>
        <v>0</v>
      </c>
      <c r="L106" s="21"/>
      <c r="M106" s="3"/>
      <c r="O106" s="25"/>
      <c r="R106" s="24"/>
    </row>
    <row r="107" spans="1:18" s="22" customFormat="1" ht="12" customHeight="1">
      <c r="A107" s="260" t="s">
        <v>590</v>
      </c>
      <c r="B107" s="80" t="s">
        <v>289</v>
      </c>
      <c r="C107" s="56">
        <v>140903</v>
      </c>
      <c r="D107" s="386" t="s">
        <v>147</v>
      </c>
      <c r="E107" s="386"/>
      <c r="F107" s="386"/>
      <c r="G107" s="386"/>
      <c r="H107" s="56" t="s">
        <v>21</v>
      </c>
      <c r="I107" s="92">
        <v>35</v>
      </c>
      <c r="J107" s="54">
        <v>42.83</v>
      </c>
      <c r="K107" s="89">
        <f t="shared" si="3"/>
        <v>1499.05</v>
      </c>
      <c r="L107" s="21"/>
      <c r="M107" s="3"/>
      <c r="O107" s="23"/>
      <c r="R107" s="24"/>
    </row>
    <row r="108" spans="1:18" s="22" customFormat="1" ht="12" customHeight="1">
      <c r="A108" s="262" t="s">
        <v>591</v>
      </c>
      <c r="B108" s="80"/>
      <c r="C108" s="56"/>
      <c r="D108" s="375" t="s">
        <v>148</v>
      </c>
      <c r="E108" s="375"/>
      <c r="F108" s="375"/>
      <c r="G108" s="375"/>
      <c r="H108" s="56"/>
      <c r="I108" s="92"/>
      <c r="J108" s="88"/>
      <c r="K108" s="89">
        <f t="shared" si="3"/>
        <v>0</v>
      </c>
      <c r="L108" s="21"/>
      <c r="M108" s="3"/>
      <c r="O108" s="25"/>
      <c r="R108" s="24"/>
    </row>
    <row r="109" spans="1:18" s="22" customFormat="1" ht="12" customHeight="1">
      <c r="A109" s="260" t="s">
        <v>592</v>
      </c>
      <c r="B109" s="80" t="s">
        <v>289</v>
      </c>
      <c r="C109" s="56">
        <v>141410</v>
      </c>
      <c r="D109" s="386" t="s">
        <v>149</v>
      </c>
      <c r="E109" s="386"/>
      <c r="F109" s="386"/>
      <c r="G109" s="386"/>
      <c r="H109" s="56" t="s">
        <v>21</v>
      </c>
      <c r="I109" s="92">
        <v>40</v>
      </c>
      <c r="J109" s="54">
        <v>18.04</v>
      </c>
      <c r="K109" s="89">
        <f t="shared" si="3"/>
        <v>721.5999999999999</v>
      </c>
      <c r="L109" s="21"/>
      <c r="M109" s="3"/>
      <c r="O109" s="23"/>
      <c r="R109" s="24"/>
    </row>
    <row r="110" spans="1:18" s="22" customFormat="1" ht="12" customHeight="1">
      <c r="A110" s="262" t="s">
        <v>593</v>
      </c>
      <c r="B110" s="80"/>
      <c r="C110" s="56"/>
      <c r="D110" s="375" t="s">
        <v>150</v>
      </c>
      <c r="E110" s="375"/>
      <c r="F110" s="375"/>
      <c r="G110" s="375"/>
      <c r="H110" s="56"/>
      <c r="I110" s="92"/>
      <c r="J110" s="88"/>
      <c r="K110" s="89">
        <f t="shared" si="3"/>
        <v>0</v>
      </c>
      <c r="L110" s="21"/>
      <c r="M110" s="3"/>
      <c r="O110" s="25"/>
      <c r="R110" s="24"/>
    </row>
    <row r="111" spans="1:18" s="22" customFormat="1" ht="12" customHeight="1">
      <c r="A111" s="260" t="s">
        <v>594</v>
      </c>
      <c r="B111" s="80" t="s">
        <v>289</v>
      </c>
      <c r="C111" s="56">
        <v>141907</v>
      </c>
      <c r="D111" s="386" t="s">
        <v>151</v>
      </c>
      <c r="E111" s="386"/>
      <c r="F111" s="386"/>
      <c r="G111" s="386"/>
      <c r="H111" s="56" t="s">
        <v>21</v>
      </c>
      <c r="I111" s="92">
        <v>25</v>
      </c>
      <c r="J111" s="54">
        <v>34.43</v>
      </c>
      <c r="K111" s="89">
        <f t="shared" si="3"/>
        <v>860.75</v>
      </c>
      <c r="L111" s="21"/>
      <c r="M111" s="3"/>
      <c r="O111" s="23"/>
      <c r="R111" s="24"/>
    </row>
    <row r="112" spans="1:18" s="22" customFormat="1" ht="12" customHeight="1">
      <c r="A112" s="260" t="s">
        <v>595</v>
      </c>
      <c r="B112" s="80" t="s">
        <v>289</v>
      </c>
      <c r="C112" s="56">
        <v>141908</v>
      </c>
      <c r="D112" s="386" t="s">
        <v>152</v>
      </c>
      <c r="E112" s="386"/>
      <c r="F112" s="386"/>
      <c r="G112" s="386"/>
      <c r="H112" s="56" t="s">
        <v>21</v>
      </c>
      <c r="I112" s="92">
        <v>20</v>
      </c>
      <c r="J112" s="54">
        <v>47.99</v>
      </c>
      <c r="K112" s="89">
        <f t="shared" si="3"/>
        <v>959.8000000000001</v>
      </c>
      <c r="L112" s="21"/>
      <c r="M112" s="3"/>
      <c r="O112" s="23"/>
      <c r="R112" s="24"/>
    </row>
    <row r="113" spans="1:18" s="22" customFormat="1" ht="12" customHeight="1">
      <c r="A113" s="262" t="s">
        <v>596</v>
      </c>
      <c r="B113" s="80"/>
      <c r="C113" s="56"/>
      <c r="D113" s="375" t="s">
        <v>153</v>
      </c>
      <c r="E113" s="375"/>
      <c r="F113" s="375"/>
      <c r="G113" s="375"/>
      <c r="H113" s="56"/>
      <c r="I113" s="92"/>
      <c r="J113" s="88"/>
      <c r="K113" s="89">
        <f t="shared" si="3"/>
        <v>0</v>
      </c>
      <c r="L113" s="21"/>
      <c r="M113" s="3"/>
      <c r="O113" s="25"/>
      <c r="R113" s="24"/>
    </row>
    <row r="114" spans="1:18" s="22" customFormat="1" ht="12" customHeight="1">
      <c r="A114" s="260" t="s">
        <v>597</v>
      </c>
      <c r="B114" s="80" t="s">
        <v>289</v>
      </c>
      <c r="C114" s="56">
        <v>142120</v>
      </c>
      <c r="D114" s="386" t="s">
        <v>520</v>
      </c>
      <c r="E114" s="386"/>
      <c r="F114" s="386"/>
      <c r="G114" s="386"/>
      <c r="H114" s="56" t="s">
        <v>35</v>
      </c>
      <c r="I114" s="92">
        <v>1</v>
      </c>
      <c r="J114" s="54">
        <v>85.01</v>
      </c>
      <c r="K114" s="89">
        <f t="shared" si="3"/>
        <v>85.01</v>
      </c>
      <c r="L114" s="21"/>
      <c r="M114" s="3"/>
      <c r="O114" s="23"/>
      <c r="R114" s="24"/>
    </row>
    <row r="115" spans="1:18" s="22" customFormat="1" ht="13.5" customHeight="1">
      <c r="A115" s="260" t="s">
        <v>598</v>
      </c>
      <c r="B115" s="80" t="s">
        <v>289</v>
      </c>
      <c r="C115" s="56">
        <v>142124</v>
      </c>
      <c r="D115" s="386" t="s">
        <v>165</v>
      </c>
      <c r="E115" s="386"/>
      <c r="F115" s="386"/>
      <c r="G115" s="386"/>
      <c r="H115" s="56" t="s">
        <v>35</v>
      </c>
      <c r="I115" s="92">
        <v>1</v>
      </c>
      <c r="J115" s="54">
        <v>13.63</v>
      </c>
      <c r="K115" s="89">
        <f t="shared" si="3"/>
        <v>13.63</v>
      </c>
      <c r="L115" s="21"/>
      <c r="M115" s="3"/>
      <c r="O115" s="23"/>
      <c r="R115" s="24"/>
    </row>
    <row r="116" spans="1:17" s="66" customFormat="1" ht="15" customHeight="1">
      <c r="A116" s="256" t="s">
        <v>46</v>
      </c>
      <c r="B116" s="84"/>
      <c r="C116" s="85"/>
      <c r="D116" s="365" t="s">
        <v>44</v>
      </c>
      <c r="E116" s="365"/>
      <c r="F116" s="365"/>
      <c r="G116" s="365"/>
      <c r="H116" s="79"/>
      <c r="I116" s="86"/>
      <c r="J116" s="87"/>
      <c r="K116" s="83">
        <f>SUM(K118:K155)</f>
        <v>18187.239199999996</v>
      </c>
      <c r="L116" s="59"/>
      <c r="N116" s="60"/>
      <c r="O116" s="67">
        <f>(N116*28%)</f>
        <v>0</v>
      </c>
      <c r="P116" s="68">
        <f>N116+O116</f>
        <v>0</v>
      </c>
      <c r="Q116" s="69"/>
    </row>
    <row r="117" spans="1:17" s="70" customFormat="1" ht="15" customHeight="1">
      <c r="A117" s="257" t="s">
        <v>12</v>
      </c>
      <c r="B117" s="80"/>
      <c r="C117" s="55"/>
      <c r="D117" s="375" t="s">
        <v>185</v>
      </c>
      <c r="E117" s="375"/>
      <c r="F117" s="375"/>
      <c r="G117" s="375"/>
      <c r="H117" s="56"/>
      <c r="I117" s="92"/>
      <c r="J117" s="54"/>
      <c r="K117" s="89">
        <f aca="true" t="shared" si="4" ref="K117:K133">I117*J117</f>
        <v>0</v>
      </c>
      <c r="L117" s="33"/>
      <c r="N117" s="32"/>
      <c r="O117" s="71">
        <f>(N117*28%)</f>
        <v>0</v>
      </c>
      <c r="P117" s="72">
        <f>N117+O117</f>
        <v>0</v>
      </c>
      <c r="Q117" s="34"/>
    </row>
    <row r="118" spans="1:17" s="70" customFormat="1" ht="15" customHeight="1">
      <c r="A118" s="258" t="s">
        <v>227</v>
      </c>
      <c r="B118" s="80" t="s">
        <v>289</v>
      </c>
      <c r="C118" s="55" t="s">
        <v>336</v>
      </c>
      <c r="D118" s="357" t="s">
        <v>186</v>
      </c>
      <c r="E118" s="357"/>
      <c r="F118" s="357"/>
      <c r="G118" s="357"/>
      <c r="H118" s="56" t="s">
        <v>21</v>
      </c>
      <c r="I118" s="92">
        <v>205.23</v>
      </c>
      <c r="J118" s="93">
        <v>9.42</v>
      </c>
      <c r="K118" s="89">
        <f t="shared" si="4"/>
        <v>1933.2666</v>
      </c>
      <c r="L118" s="35"/>
      <c r="N118" s="32"/>
      <c r="O118" s="71">
        <f>(N118*28%)</f>
        <v>0</v>
      </c>
      <c r="P118" s="72"/>
      <c r="Q118" s="34"/>
    </row>
    <row r="119" spans="1:17" s="70" customFormat="1" ht="15" customHeight="1">
      <c r="A119" s="257" t="s">
        <v>26</v>
      </c>
      <c r="B119" s="80"/>
      <c r="C119" s="55"/>
      <c r="D119" s="375" t="s">
        <v>187</v>
      </c>
      <c r="E119" s="375"/>
      <c r="F119" s="375"/>
      <c r="G119" s="375"/>
      <c r="H119" s="56"/>
      <c r="I119" s="92"/>
      <c r="J119" s="54"/>
      <c r="K119" s="89">
        <f t="shared" si="4"/>
        <v>0</v>
      </c>
      <c r="L119" s="33"/>
      <c r="N119" s="32"/>
      <c r="O119" s="71">
        <f>(N119*28%)</f>
        <v>0</v>
      </c>
      <c r="P119" s="72">
        <f>N119+O119</f>
        <v>0</v>
      </c>
      <c r="Q119" s="34"/>
    </row>
    <row r="120" spans="1:17" s="70" customFormat="1" ht="27" customHeight="1">
      <c r="A120" s="258" t="s">
        <v>228</v>
      </c>
      <c r="B120" s="80" t="s">
        <v>289</v>
      </c>
      <c r="C120" s="55" t="s">
        <v>339</v>
      </c>
      <c r="D120" s="376" t="s">
        <v>226</v>
      </c>
      <c r="E120" s="377"/>
      <c r="F120" s="377"/>
      <c r="G120" s="378"/>
      <c r="H120" s="56" t="s">
        <v>35</v>
      </c>
      <c r="I120" s="88">
        <v>1</v>
      </c>
      <c r="J120" s="54">
        <v>1147.84</v>
      </c>
      <c r="K120" s="89">
        <f t="shared" si="4"/>
        <v>1147.84</v>
      </c>
      <c r="L120" s="35"/>
      <c r="N120" s="32"/>
      <c r="O120" s="71"/>
      <c r="P120" s="72"/>
      <c r="Q120" s="34"/>
    </row>
    <row r="121" spans="1:17" s="70" customFormat="1" ht="15" customHeight="1">
      <c r="A121" s="257" t="s">
        <v>47</v>
      </c>
      <c r="B121" s="80"/>
      <c r="C121" s="55"/>
      <c r="D121" s="375" t="s">
        <v>188</v>
      </c>
      <c r="E121" s="375"/>
      <c r="F121" s="375"/>
      <c r="G121" s="375"/>
      <c r="H121" s="56"/>
      <c r="I121" s="92"/>
      <c r="J121" s="54"/>
      <c r="K121" s="89">
        <f t="shared" si="4"/>
        <v>0</v>
      </c>
      <c r="L121" s="33"/>
      <c r="N121" s="32"/>
      <c r="O121" s="71"/>
      <c r="P121" s="72"/>
      <c r="Q121" s="34"/>
    </row>
    <row r="122" spans="1:17" s="70" customFormat="1" ht="12.75">
      <c r="A122" s="258" t="s">
        <v>229</v>
      </c>
      <c r="B122" s="80" t="s">
        <v>289</v>
      </c>
      <c r="C122" s="55" t="s">
        <v>340</v>
      </c>
      <c r="D122" s="357" t="s">
        <v>189</v>
      </c>
      <c r="E122" s="357"/>
      <c r="F122" s="357"/>
      <c r="G122" s="357"/>
      <c r="H122" s="56" t="s">
        <v>35</v>
      </c>
      <c r="I122" s="92">
        <v>1</v>
      </c>
      <c r="J122" s="54">
        <v>425.5</v>
      </c>
      <c r="K122" s="89">
        <f t="shared" si="4"/>
        <v>425.5</v>
      </c>
      <c r="L122" s="35"/>
      <c r="N122" s="32"/>
      <c r="O122" s="71"/>
      <c r="P122" s="72"/>
      <c r="Q122" s="34"/>
    </row>
    <row r="123" spans="1:17" s="70" customFormat="1" ht="15" customHeight="1">
      <c r="A123" s="257" t="s">
        <v>48</v>
      </c>
      <c r="B123" s="80"/>
      <c r="C123" s="55"/>
      <c r="D123" s="375" t="s">
        <v>190</v>
      </c>
      <c r="E123" s="384"/>
      <c r="F123" s="384"/>
      <c r="G123" s="385"/>
      <c r="H123" s="56"/>
      <c r="I123" s="92"/>
      <c r="J123" s="54"/>
      <c r="K123" s="89">
        <f t="shared" si="4"/>
        <v>0</v>
      </c>
      <c r="L123" s="33"/>
      <c r="N123" s="32"/>
      <c r="O123" s="71"/>
      <c r="P123" s="72"/>
      <c r="Q123" s="34"/>
    </row>
    <row r="124" spans="1:17" s="70" customFormat="1" ht="28.5" customHeight="1">
      <c r="A124" s="258" t="s">
        <v>230</v>
      </c>
      <c r="B124" s="80" t="s">
        <v>289</v>
      </c>
      <c r="C124" s="55" t="s">
        <v>341</v>
      </c>
      <c r="D124" s="357" t="s">
        <v>191</v>
      </c>
      <c r="E124" s="357"/>
      <c r="F124" s="357"/>
      <c r="G124" s="357"/>
      <c r="H124" s="56" t="s">
        <v>35</v>
      </c>
      <c r="I124" s="88">
        <v>1</v>
      </c>
      <c r="J124" s="54">
        <v>182.11</v>
      </c>
      <c r="K124" s="89">
        <f t="shared" si="4"/>
        <v>182.11</v>
      </c>
      <c r="L124" s="35"/>
      <c r="N124" s="32"/>
      <c r="O124" s="71"/>
      <c r="P124" s="72"/>
      <c r="Q124" s="34"/>
    </row>
    <row r="125" spans="1:17" s="70" customFormat="1" ht="28.5" customHeight="1">
      <c r="A125" s="258" t="s">
        <v>324</v>
      </c>
      <c r="B125" s="80" t="s">
        <v>289</v>
      </c>
      <c r="C125" s="55" t="s">
        <v>342</v>
      </c>
      <c r="D125" s="357" t="s">
        <v>196</v>
      </c>
      <c r="E125" s="357"/>
      <c r="F125" s="357"/>
      <c r="G125" s="357"/>
      <c r="H125" s="56" t="s">
        <v>35</v>
      </c>
      <c r="I125" s="88">
        <v>1</v>
      </c>
      <c r="J125" s="54">
        <v>187.27</v>
      </c>
      <c r="K125" s="89">
        <f t="shared" si="4"/>
        <v>187.27</v>
      </c>
      <c r="L125" s="35"/>
      <c r="N125" s="32"/>
      <c r="O125" s="71"/>
      <c r="P125" s="72"/>
      <c r="Q125" s="34"/>
    </row>
    <row r="126" spans="1:17" s="70" customFormat="1" ht="26.25" customHeight="1">
      <c r="A126" s="258" t="s">
        <v>325</v>
      </c>
      <c r="B126" s="80" t="s">
        <v>289</v>
      </c>
      <c r="C126" s="55" t="s">
        <v>343</v>
      </c>
      <c r="D126" s="357" t="s">
        <v>192</v>
      </c>
      <c r="E126" s="357"/>
      <c r="F126" s="357"/>
      <c r="G126" s="357"/>
      <c r="H126" s="56" t="s">
        <v>35</v>
      </c>
      <c r="I126" s="88">
        <v>1</v>
      </c>
      <c r="J126" s="54">
        <v>103.11</v>
      </c>
      <c r="K126" s="89">
        <f t="shared" si="4"/>
        <v>103.11</v>
      </c>
      <c r="L126" s="35"/>
      <c r="N126" s="32"/>
      <c r="O126" s="71"/>
      <c r="P126" s="72"/>
      <c r="Q126" s="34"/>
    </row>
    <row r="127" spans="1:17" s="70" customFormat="1" ht="38.25" customHeight="1">
      <c r="A127" s="258" t="s">
        <v>326</v>
      </c>
      <c r="B127" s="80" t="s">
        <v>289</v>
      </c>
      <c r="C127" s="55" t="s">
        <v>424</v>
      </c>
      <c r="D127" s="357" t="s">
        <v>423</v>
      </c>
      <c r="E127" s="357"/>
      <c r="F127" s="357"/>
      <c r="G127" s="357"/>
      <c r="H127" s="56" t="s">
        <v>35</v>
      </c>
      <c r="I127" s="88">
        <v>10</v>
      </c>
      <c r="J127" s="54">
        <v>98.63</v>
      </c>
      <c r="K127" s="89">
        <f>I127*J127</f>
        <v>986.3</v>
      </c>
      <c r="L127" s="35"/>
      <c r="N127" s="32"/>
      <c r="O127" s="71"/>
      <c r="P127" s="72"/>
      <c r="Q127" s="34"/>
    </row>
    <row r="128" spans="1:17" s="70" customFormat="1" ht="12.75">
      <c r="A128" s="257" t="s">
        <v>231</v>
      </c>
      <c r="B128" s="80"/>
      <c r="C128" s="55"/>
      <c r="D128" s="375" t="s">
        <v>193</v>
      </c>
      <c r="E128" s="375"/>
      <c r="F128" s="375"/>
      <c r="G128" s="375"/>
      <c r="H128" s="56"/>
      <c r="I128" s="92"/>
      <c r="J128" s="54"/>
      <c r="K128" s="89">
        <f t="shared" si="4"/>
        <v>0</v>
      </c>
      <c r="L128" s="33"/>
      <c r="N128" s="32"/>
      <c r="O128" s="71"/>
      <c r="P128" s="72"/>
      <c r="Q128" s="34"/>
    </row>
    <row r="129" spans="1:17" s="70" customFormat="1" ht="12.75">
      <c r="A129" s="258" t="s">
        <v>232</v>
      </c>
      <c r="B129" s="80" t="s">
        <v>289</v>
      </c>
      <c r="C129" s="56">
        <v>150918</v>
      </c>
      <c r="D129" s="357" t="s">
        <v>194</v>
      </c>
      <c r="E129" s="357"/>
      <c r="F129" s="357"/>
      <c r="G129" s="357"/>
      <c r="H129" s="56" t="s">
        <v>35</v>
      </c>
      <c r="I129" s="92">
        <v>15</v>
      </c>
      <c r="J129" s="93">
        <v>24.06</v>
      </c>
      <c r="K129" s="89">
        <f>I129*J129</f>
        <v>360.9</v>
      </c>
      <c r="L129" s="35"/>
      <c r="N129" s="32"/>
      <c r="O129" s="71"/>
      <c r="P129" s="72"/>
      <c r="Q129" s="34"/>
    </row>
    <row r="130" spans="1:17" s="70" customFormat="1" ht="12.75">
      <c r="A130" s="257" t="s">
        <v>233</v>
      </c>
      <c r="B130" s="80"/>
      <c r="C130" s="56"/>
      <c r="D130" s="375" t="s">
        <v>421</v>
      </c>
      <c r="E130" s="375"/>
      <c r="F130" s="375"/>
      <c r="G130" s="375"/>
      <c r="H130" s="56"/>
      <c r="I130" s="92"/>
      <c r="J130" s="54"/>
      <c r="K130" s="89">
        <f>I130*J130</f>
        <v>0</v>
      </c>
      <c r="L130" s="33"/>
      <c r="N130" s="32"/>
      <c r="O130" s="71"/>
      <c r="P130" s="72"/>
      <c r="Q130" s="34"/>
    </row>
    <row r="131" spans="1:17" s="70" customFormat="1" ht="12.75">
      <c r="A131" s="258" t="s">
        <v>234</v>
      </c>
      <c r="B131" s="80" t="s">
        <v>289</v>
      </c>
      <c r="C131" s="56">
        <v>151133</v>
      </c>
      <c r="D131" s="357" t="s">
        <v>422</v>
      </c>
      <c r="E131" s="357"/>
      <c r="F131" s="357"/>
      <c r="G131" s="357"/>
      <c r="H131" s="56" t="s">
        <v>21</v>
      </c>
      <c r="I131" s="92">
        <v>60.63</v>
      </c>
      <c r="J131" s="94">
        <v>8.17</v>
      </c>
      <c r="K131" s="89">
        <f>I131*J131</f>
        <v>495.3471</v>
      </c>
      <c r="L131" s="35"/>
      <c r="N131" s="32"/>
      <c r="O131" s="71"/>
      <c r="P131" s="72"/>
      <c r="Q131" s="34"/>
    </row>
    <row r="132" spans="1:17" s="70" customFormat="1" ht="12.75">
      <c r="A132" s="257" t="s">
        <v>235</v>
      </c>
      <c r="B132" s="80"/>
      <c r="C132" s="56"/>
      <c r="D132" s="375" t="s">
        <v>195</v>
      </c>
      <c r="E132" s="375"/>
      <c r="F132" s="375"/>
      <c r="G132" s="375"/>
      <c r="H132" s="56"/>
      <c r="I132" s="92"/>
      <c r="J132" s="54"/>
      <c r="K132" s="89">
        <f t="shared" si="4"/>
        <v>0</v>
      </c>
      <c r="L132" s="33"/>
      <c r="N132" s="32"/>
      <c r="O132" s="71"/>
      <c r="P132" s="72"/>
      <c r="Q132" s="34"/>
    </row>
    <row r="133" spans="1:17" s="70" customFormat="1" ht="27" customHeight="1">
      <c r="A133" s="258" t="s">
        <v>236</v>
      </c>
      <c r="B133" s="80" t="s">
        <v>289</v>
      </c>
      <c r="C133" s="56">
        <v>151338</v>
      </c>
      <c r="D133" s="357" t="s">
        <v>796</v>
      </c>
      <c r="E133" s="357"/>
      <c r="F133" s="357"/>
      <c r="G133" s="357"/>
      <c r="H133" s="56" t="s">
        <v>35</v>
      </c>
      <c r="I133" s="92">
        <v>1</v>
      </c>
      <c r="J133" s="94">
        <v>18.27</v>
      </c>
      <c r="K133" s="89">
        <f t="shared" si="4"/>
        <v>18.27</v>
      </c>
      <c r="L133" s="35"/>
      <c r="N133" s="32"/>
      <c r="O133" s="71"/>
      <c r="P133" s="72"/>
      <c r="Q133" s="34"/>
    </row>
    <row r="134" spans="1:17" s="70" customFormat="1" ht="30" customHeight="1">
      <c r="A134" s="258" t="s">
        <v>237</v>
      </c>
      <c r="B134" s="80" t="s">
        <v>289</v>
      </c>
      <c r="C134" s="56">
        <v>151301</v>
      </c>
      <c r="D134" s="357" t="s">
        <v>797</v>
      </c>
      <c r="E134" s="357"/>
      <c r="F134" s="357"/>
      <c r="G134" s="357"/>
      <c r="H134" s="56" t="s">
        <v>35</v>
      </c>
      <c r="I134" s="92">
        <v>2</v>
      </c>
      <c r="J134" s="94">
        <v>18.27</v>
      </c>
      <c r="K134" s="89">
        <f aca="true" t="shared" si="5" ref="K134:K155">J134*I134</f>
        <v>36.54</v>
      </c>
      <c r="L134" s="35"/>
      <c r="N134" s="32"/>
      <c r="O134" s="71"/>
      <c r="P134" s="72"/>
      <c r="Q134" s="34"/>
    </row>
    <row r="135" spans="1:17" s="70" customFormat="1" ht="29.25" customHeight="1">
      <c r="A135" s="258" t="s">
        <v>599</v>
      </c>
      <c r="B135" s="80" t="s">
        <v>289</v>
      </c>
      <c r="C135" s="56">
        <v>151317</v>
      </c>
      <c r="D135" s="357" t="s">
        <v>798</v>
      </c>
      <c r="E135" s="357"/>
      <c r="F135" s="357"/>
      <c r="G135" s="357"/>
      <c r="H135" s="56" t="s">
        <v>35</v>
      </c>
      <c r="I135" s="92">
        <v>1</v>
      </c>
      <c r="J135" s="94">
        <v>21.36</v>
      </c>
      <c r="K135" s="89">
        <f t="shared" si="5"/>
        <v>21.36</v>
      </c>
      <c r="L135" s="35"/>
      <c r="N135" s="32"/>
      <c r="O135" s="71"/>
      <c r="P135" s="72"/>
      <c r="Q135" s="34"/>
    </row>
    <row r="136" spans="1:17" s="70" customFormat="1" ht="28.5" customHeight="1">
      <c r="A136" s="258" t="s">
        <v>600</v>
      </c>
      <c r="B136" s="80" t="s">
        <v>289</v>
      </c>
      <c r="C136" s="56">
        <v>151303</v>
      </c>
      <c r="D136" s="357" t="s">
        <v>799</v>
      </c>
      <c r="E136" s="357"/>
      <c r="F136" s="357"/>
      <c r="G136" s="357"/>
      <c r="H136" s="56" t="s">
        <v>35</v>
      </c>
      <c r="I136" s="92">
        <v>4</v>
      </c>
      <c r="J136" s="94">
        <v>18.27</v>
      </c>
      <c r="K136" s="89">
        <f t="shared" si="5"/>
        <v>73.08</v>
      </c>
      <c r="L136" s="35"/>
      <c r="N136" s="32"/>
      <c r="O136" s="71"/>
      <c r="P136" s="72"/>
      <c r="Q136" s="34"/>
    </row>
    <row r="137" spans="1:17" s="70" customFormat="1" ht="29.25" customHeight="1">
      <c r="A137" s="258" t="s">
        <v>601</v>
      </c>
      <c r="B137" s="80" t="s">
        <v>289</v>
      </c>
      <c r="C137" s="56">
        <v>151309</v>
      </c>
      <c r="D137" s="357" t="s">
        <v>800</v>
      </c>
      <c r="E137" s="357"/>
      <c r="F137" s="357"/>
      <c r="G137" s="357"/>
      <c r="H137" s="56" t="s">
        <v>35</v>
      </c>
      <c r="I137" s="92">
        <v>1</v>
      </c>
      <c r="J137" s="94">
        <v>70.2</v>
      </c>
      <c r="K137" s="89">
        <f t="shared" si="5"/>
        <v>70.2</v>
      </c>
      <c r="L137" s="35"/>
      <c r="N137" s="32"/>
      <c r="O137" s="71"/>
      <c r="P137" s="72"/>
      <c r="Q137" s="34"/>
    </row>
    <row r="138" spans="1:17" s="70" customFormat="1" ht="12.75">
      <c r="A138" s="257" t="s">
        <v>238</v>
      </c>
      <c r="B138" s="80"/>
      <c r="C138" s="56"/>
      <c r="D138" s="375" t="s">
        <v>419</v>
      </c>
      <c r="E138" s="375"/>
      <c r="F138" s="375"/>
      <c r="G138" s="375"/>
      <c r="H138" s="56"/>
      <c r="I138" s="92"/>
      <c r="J138" s="54"/>
      <c r="K138" s="89">
        <f>I138*J138</f>
        <v>0</v>
      </c>
      <c r="L138" s="33"/>
      <c r="N138" s="32"/>
      <c r="O138" s="71"/>
      <c r="P138" s="72"/>
      <c r="Q138" s="34"/>
    </row>
    <row r="139" spans="1:17" s="70" customFormat="1" ht="12.75">
      <c r="A139" s="258" t="s">
        <v>239</v>
      </c>
      <c r="B139" s="80" t="s">
        <v>289</v>
      </c>
      <c r="C139" s="56">
        <v>151404</v>
      </c>
      <c r="D139" s="357" t="s">
        <v>420</v>
      </c>
      <c r="E139" s="357"/>
      <c r="F139" s="357"/>
      <c r="G139" s="357"/>
      <c r="H139" s="56" t="s">
        <v>21</v>
      </c>
      <c r="I139" s="92">
        <v>181.89</v>
      </c>
      <c r="J139" s="94">
        <v>6.95</v>
      </c>
      <c r="K139" s="89">
        <f>I139*J139</f>
        <v>1264.1354999999999</v>
      </c>
      <c r="L139" s="35"/>
      <c r="N139" s="32"/>
      <c r="O139" s="71"/>
      <c r="P139" s="72"/>
      <c r="Q139" s="34"/>
    </row>
    <row r="140" spans="1:17" s="70" customFormat="1" ht="12.75">
      <c r="A140" s="257" t="s">
        <v>602</v>
      </c>
      <c r="B140" s="80"/>
      <c r="C140" s="56"/>
      <c r="D140" s="375" t="s">
        <v>197</v>
      </c>
      <c r="E140" s="375"/>
      <c r="F140" s="375"/>
      <c r="G140" s="375"/>
      <c r="H140" s="56"/>
      <c r="I140" s="92"/>
      <c r="J140" s="54"/>
      <c r="K140" s="89">
        <f t="shared" si="5"/>
        <v>0</v>
      </c>
      <c r="L140" s="33"/>
      <c r="N140" s="32"/>
      <c r="O140" s="71"/>
      <c r="P140" s="72"/>
      <c r="Q140" s="34"/>
    </row>
    <row r="141" spans="1:17" s="70" customFormat="1" ht="12.75">
      <c r="A141" s="258" t="s">
        <v>603</v>
      </c>
      <c r="B141" s="80" t="s">
        <v>289</v>
      </c>
      <c r="C141" s="56">
        <v>151506</v>
      </c>
      <c r="D141" s="357" t="s">
        <v>198</v>
      </c>
      <c r="E141" s="357"/>
      <c r="F141" s="357"/>
      <c r="G141" s="357"/>
      <c r="H141" s="56" t="s">
        <v>35</v>
      </c>
      <c r="I141" s="92">
        <v>2</v>
      </c>
      <c r="J141" s="93">
        <v>101.84</v>
      </c>
      <c r="K141" s="89">
        <f t="shared" si="5"/>
        <v>203.68</v>
      </c>
      <c r="L141" s="35"/>
      <c r="N141" s="32"/>
      <c r="O141" s="71"/>
      <c r="P141" s="72"/>
      <c r="Q141" s="34"/>
    </row>
    <row r="142" spans="1:17" s="70" customFormat="1" ht="12.75">
      <c r="A142" s="257" t="s">
        <v>604</v>
      </c>
      <c r="B142" s="80"/>
      <c r="C142" s="56"/>
      <c r="D142" s="375" t="s">
        <v>199</v>
      </c>
      <c r="E142" s="375"/>
      <c r="F142" s="375"/>
      <c r="G142" s="375"/>
      <c r="H142" s="56"/>
      <c r="I142" s="92"/>
      <c r="J142" s="54"/>
      <c r="K142" s="89">
        <f t="shared" si="5"/>
        <v>0</v>
      </c>
      <c r="L142" s="33"/>
      <c r="N142" s="32"/>
      <c r="O142" s="71"/>
      <c r="P142" s="72"/>
      <c r="Q142" s="34"/>
    </row>
    <row r="143" spans="1:17" s="70" customFormat="1" ht="26.25" customHeight="1">
      <c r="A143" s="258" t="s">
        <v>605</v>
      </c>
      <c r="B143" s="80" t="s">
        <v>289</v>
      </c>
      <c r="C143" s="56">
        <v>151703</v>
      </c>
      <c r="D143" s="357" t="s">
        <v>344</v>
      </c>
      <c r="E143" s="357"/>
      <c r="F143" s="357"/>
      <c r="G143" s="357"/>
      <c r="H143" s="56" t="s">
        <v>35</v>
      </c>
      <c r="I143" s="92">
        <v>1</v>
      </c>
      <c r="J143" s="54">
        <v>2225.89</v>
      </c>
      <c r="K143" s="89">
        <f t="shared" si="5"/>
        <v>2225.89</v>
      </c>
      <c r="L143" s="35"/>
      <c r="N143" s="32"/>
      <c r="O143" s="71"/>
      <c r="P143" s="72"/>
      <c r="Q143" s="34"/>
    </row>
    <row r="144" spans="1:17" s="70" customFormat="1" ht="12.75">
      <c r="A144" s="257" t="s">
        <v>606</v>
      </c>
      <c r="B144" s="80"/>
      <c r="C144" s="56"/>
      <c r="D144" s="375" t="s">
        <v>200</v>
      </c>
      <c r="E144" s="375"/>
      <c r="F144" s="375"/>
      <c r="G144" s="375"/>
      <c r="H144" s="56"/>
      <c r="I144" s="92"/>
      <c r="J144" s="54"/>
      <c r="K144" s="89">
        <f t="shared" si="5"/>
        <v>0</v>
      </c>
      <c r="L144" s="33"/>
      <c r="N144" s="32"/>
      <c r="O144" s="71"/>
      <c r="P144" s="72"/>
      <c r="Q144" s="34"/>
    </row>
    <row r="145" spans="1:17" s="70" customFormat="1" ht="26.25" customHeight="1">
      <c r="A145" s="258" t="s">
        <v>607</v>
      </c>
      <c r="B145" s="80" t="s">
        <v>289</v>
      </c>
      <c r="C145" s="56">
        <v>151801</v>
      </c>
      <c r="D145" s="357" t="s">
        <v>201</v>
      </c>
      <c r="E145" s="357"/>
      <c r="F145" s="357"/>
      <c r="G145" s="357"/>
      <c r="H145" s="56" t="s">
        <v>35</v>
      </c>
      <c r="I145" s="88">
        <v>11</v>
      </c>
      <c r="J145" s="54">
        <v>147.89</v>
      </c>
      <c r="K145" s="89">
        <f t="shared" si="5"/>
        <v>1626.79</v>
      </c>
      <c r="L145" s="35"/>
      <c r="N145" s="32"/>
      <c r="O145" s="71"/>
      <c r="P145" s="72"/>
      <c r="Q145" s="34"/>
    </row>
    <row r="146" spans="1:17" s="70" customFormat="1" ht="26.25" customHeight="1">
      <c r="A146" s="258" t="s">
        <v>608</v>
      </c>
      <c r="B146" s="80" t="s">
        <v>289</v>
      </c>
      <c r="C146" s="56">
        <v>151803</v>
      </c>
      <c r="D146" s="357" t="s">
        <v>202</v>
      </c>
      <c r="E146" s="357"/>
      <c r="F146" s="357"/>
      <c r="G146" s="357"/>
      <c r="H146" s="56" t="s">
        <v>35</v>
      </c>
      <c r="I146" s="88">
        <v>19</v>
      </c>
      <c r="J146" s="54">
        <v>150.94</v>
      </c>
      <c r="K146" s="89">
        <f t="shared" si="5"/>
        <v>2867.86</v>
      </c>
      <c r="L146" s="35"/>
      <c r="N146" s="32"/>
      <c r="O146" s="71"/>
      <c r="P146" s="72"/>
      <c r="Q146" s="34"/>
    </row>
    <row r="147" spans="1:17" s="70" customFormat="1" ht="26.25" customHeight="1">
      <c r="A147" s="258" t="s">
        <v>609</v>
      </c>
      <c r="B147" s="80" t="s">
        <v>289</v>
      </c>
      <c r="C147" s="56">
        <v>151805</v>
      </c>
      <c r="D147" s="357" t="s">
        <v>34</v>
      </c>
      <c r="E147" s="357"/>
      <c r="F147" s="357"/>
      <c r="G147" s="357"/>
      <c r="H147" s="56" t="s">
        <v>35</v>
      </c>
      <c r="I147" s="88">
        <v>3</v>
      </c>
      <c r="J147" s="54">
        <v>350.3</v>
      </c>
      <c r="K147" s="89">
        <f t="shared" si="5"/>
        <v>1050.9</v>
      </c>
      <c r="L147" s="35"/>
      <c r="N147" s="32"/>
      <c r="O147" s="71"/>
      <c r="P147" s="72"/>
      <c r="Q147" s="34"/>
    </row>
    <row r="148" spans="1:17" s="70" customFormat="1" ht="26.25" customHeight="1">
      <c r="A148" s="258" t="s">
        <v>610</v>
      </c>
      <c r="B148" s="80" t="s">
        <v>289</v>
      </c>
      <c r="C148" s="56">
        <v>151806</v>
      </c>
      <c r="D148" s="357" t="s">
        <v>40</v>
      </c>
      <c r="E148" s="357"/>
      <c r="F148" s="357"/>
      <c r="G148" s="357"/>
      <c r="H148" s="56" t="s">
        <v>35</v>
      </c>
      <c r="I148" s="88">
        <v>3</v>
      </c>
      <c r="J148" s="54">
        <v>211.55</v>
      </c>
      <c r="K148" s="89">
        <f t="shared" si="5"/>
        <v>634.6500000000001</v>
      </c>
      <c r="L148" s="35"/>
      <c r="N148" s="32"/>
      <c r="O148" s="71"/>
      <c r="P148" s="72"/>
      <c r="Q148" s="34"/>
    </row>
    <row r="149" spans="1:17" s="70" customFormat="1" ht="26.25" customHeight="1">
      <c r="A149" s="258" t="s">
        <v>611</v>
      </c>
      <c r="B149" s="80" t="s">
        <v>289</v>
      </c>
      <c r="C149" s="56">
        <v>151811</v>
      </c>
      <c r="D149" s="357" t="s">
        <v>225</v>
      </c>
      <c r="E149" s="357"/>
      <c r="F149" s="357"/>
      <c r="G149" s="357"/>
      <c r="H149" s="56" t="s">
        <v>35</v>
      </c>
      <c r="I149" s="88">
        <v>5</v>
      </c>
      <c r="J149" s="54">
        <v>157.96</v>
      </c>
      <c r="K149" s="89">
        <f t="shared" si="5"/>
        <v>789.8000000000001</v>
      </c>
      <c r="L149" s="35"/>
      <c r="N149" s="32"/>
      <c r="O149" s="71"/>
      <c r="P149" s="72"/>
      <c r="Q149" s="34"/>
    </row>
    <row r="150" spans="1:17" s="70" customFormat="1" ht="26.25" customHeight="1">
      <c r="A150" s="258" t="s">
        <v>612</v>
      </c>
      <c r="B150" s="80" t="s">
        <v>289</v>
      </c>
      <c r="C150" s="56">
        <v>151810</v>
      </c>
      <c r="D150" s="357" t="s">
        <v>203</v>
      </c>
      <c r="E150" s="357"/>
      <c r="F150" s="357"/>
      <c r="G150" s="357"/>
      <c r="H150" s="56" t="s">
        <v>35</v>
      </c>
      <c r="I150" s="88">
        <v>4</v>
      </c>
      <c r="J150" s="54">
        <v>253.07</v>
      </c>
      <c r="K150" s="89">
        <f t="shared" si="5"/>
        <v>1012.28</v>
      </c>
      <c r="L150" s="35"/>
      <c r="N150" s="32"/>
      <c r="O150" s="71"/>
      <c r="P150" s="72"/>
      <c r="Q150" s="34"/>
    </row>
    <row r="151" spans="1:17" s="70" customFormat="1" ht="26.25" customHeight="1">
      <c r="A151" s="258" t="s">
        <v>613</v>
      </c>
      <c r="B151" s="80" t="s">
        <v>289</v>
      </c>
      <c r="C151" s="56">
        <v>151819</v>
      </c>
      <c r="D151" s="357" t="s">
        <v>204</v>
      </c>
      <c r="E151" s="357"/>
      <c r="F151" s="357"/>
      <c r="G151" s="357"/>
      <c r="H151" s="56" t="s">
        <v>35</v>
      </c>
      <c r="I151" s="88">
        <v>3</v>
      </c>
      <c r="J151" s="54">
        <v>76.5</v>
      </c>
      <c r="K151" s="89">
        <f t="shared" si="5"/>
        <v>229.5</v>
      </c>
      <c r="L151" s="35"/>
      <c r="N151" s="32"/>
      <c r="O151" s="71"/>
      <c r="P151" s="72"/>
      <c r="Q151" s="34"/>
    </row>
    <row r="152" spans="1:17" s="70" customFormat="1" ht="12.75">
      <c r="A152" s="257" t="s">
        <v>614</v>
      </c>
      <c r="B152" s="80"/>
      <c r="C152" s="56"/>
      <c r="D152" s="375" t="s">
        <v>205</v>
      </c>
      <c r="E152" s="375"/>
      <c r="F152" s="375"/>
      <c r="G152" s="375"/>
      <c r="H152" s="56"/>
      <c r="I152" s="92"/>
      <c r="J152" s="54"/>
      <c r="K152" s="89">
        <f t="shared" si="5"/>
        <v>0</v>
      </c>
      <c r="L152" s="33"/>
      <c r="N152" s="32"/>
      <c r="O152" s="71"/>
      <c r="P152" s="72"/>
      <c r="Q152" s="34"/>
    </row>
    <row r="153" spans="1:17" s="70" customFormat="1" ht="15" customHeight="1">
      <c r="A153" s="258" t="s">
        <v>615</v>
      </c>
      <c r="B153" s="80" t="s">
        <v>289</v>
      </c>
      <c r="C153" s="56">
        <v>152004</v>
      </c>
      <c r="D153" s="357" t="s">
        <v>206</v>
      </c>
      <c r="E153" s="357"/>
      <c r="F153" s="357"/>
      <c r="G153" s="357"/>
      <c r="H153" s="56" t="s">
        <v>35</v>
      </c>
      <c r="I153" s="92">
        <v>3</v>
      </c>
      <c r="J153" s="93">
        <v>15.49</v>
      </c>
      <c r="K153" s="89">
        <f t="shared" si="5"/>
        <v>46.47</v>
      </c>
      <c r="L153" s="35"/>
      <c r="N153" s="32"/>
      <c r="O153" s="71"/>
      <c r="P153" s="72"/>
      <c r="Q153" s="34"/>
    </row>
    <row r="154" spans="1:17" s="70" customFormat="1" ht="15" customHeight="1">
      <c r="A154" s="258" t="s">
        <v>616</v>
      </c>
      <c r="B154" s="80" t="s">
        <v>289</v>
      </c>
      <c r="C154" s="56">
        <v>152003</v>
      </c>
      <c r="D154" s="357" t="s">
        <v>207</v>
      </c>
      <c r="E154" s="357"/>
      <c r="F154" s="357"/>
      <c r="G154" s="357"/>
      <c r="H154" s="56" t="s">
        <v>35</v>
      </c>
      <c r="I154" s="92">
        <v>2</v>
      </c>
      <c r="J154" s="93">
        <v>15.42</v>
      </c>
      <c r="K154" s="89">
        <f t="shared" si="5"/>
        <v>30.84</v>
      </c>
      <c r="L154" s="35"/>
      <c r="N154" s="32"/>
      <c r="O154" s="71"/>
      <c r="P154" s="72"/>
      <c r="Q154" s="34"/>
    </row>
    <row r="155" spans="1:17" s="70" customFormat="1" ht="15" customHeight="1">
      <c r="A155" s="258" t="s">
        <v>617</v>
      </c>
      <c r="B155" s="80" t="s">
        <v>289</v>
      </c>
      <c r="C155" s="56">
        <v>152002</v>
      </c>
      <c r="D155" s="357" t="s">
        <v>208</v>
      </c>
      <c r="E155" s="357"/>
      <c r="F155" s="357"/>
      <c r="G155" s="357"/>
      <c r="H155" s="56" t="s">
        <v>35</v>
      </c>
      <c r="I155" s="92">
        <v>15</v>
      </c>
      <c r="J155" s="93">
        <v>10.89</v>
      </c>
      <c r="K155" s="89">
        <f t="shared" si="5"/>
        <v>163.35000000000002</v>
      </c>
      <c r="L155" s="35"/>
      <c r="N155" s="32"/>
      <c r="O155" s="71"/>
      <c r="P155" s="72"/>
      <c r="Q155" s="34"/>
    </row>
    <row r="156" spans="1:18" s="22" customFormat="1" ht="15" customHeight="1">
      <c r="A156" s="256" t="s">
        <v>277</v>
      </c>
      <c r="B156" s="84"/>
      <c r="C156" s="85"/>
      <c r="D156" s="365" t="s">
        <v>154</v>
      </c>
      <c r="E156" s="365"/>
      <c r="F156" s="365"/>
      <c r="G156" s="365"/>
      <c r="H156" s="79"/>
      <c r="I156" s="86"/>
      <c r="J156" s="87"/>
      <c r="K156" s="83">
        <f>SUM(K157:K162)</f>
        <v>2476.2584599999996</v>
      </c>
      <c r="L156" s="21"/>
      <c r="M156" s="3"/>
      <c r="O156" s="27"/>
      <c r="P156" s="28"/>
      <c r="Q156" s="29"/>
      <c r="R156" s="24"/>
    </row>
    <row r="157" spans="1:16" s="74" customFormat="1" ht="12.75">
      <c r="A157" s="262" t="s">
        <v>28</v>
      </c>
      <c r="B157" s="82"/>
      <c r="C157" s="56"/>
      <c r="D157" s="359" t="s">
        <v>41</v>
      </c>
      <c r="E157" s="359"/>
      <c r="F157" s="359"/>
      <c r="G157" s="359"/>
      <c r="H157" s="56"/>
      <c r="I157" s="92"/>
      <c r="J157" s="95"/>
      <c r="K157" s="96"/>
      <c r="L157" s="31"/>
      <c r="M157" s="26"/>
      <c r="N157" s="23"/>
      <c r="O157" s="73"/>
      <c r="P157" s="73"/>
    </row>
    <row r="158" spans="1:16" s="74" customFormat="1" ht="28.5" customHeight="1">
      <c r="A158" s="260" t="s">
        <v>240</v>
      </c>
      <c r="B158" s="115" t="s">
        <v>321</v>
      </c>
      <c r="C158" s="62">
        <v>160101</v>
      </c>
      <c r="D158" s="360" t="s">
        <v>345</v>
      </c>
      <c r="E158" s="360"/>
      <c r="F158" s="360"/>
      <c r="G158" s="360"/>
      <c r="H158" s="56" t="s">
        <v>73</v>
      </c>
      <c r="I158" s="92">
        <v>2</v>
      </c>
      <c r="J158" s="88">
        <f>264.94*1.309</f>
        <v>346.80645999999996</v>
      </c>
      <c r="K158" s="89">
        <f aca="true" t="shared" si="6" ref="K158:K176">J158*I158</f>
        <v>693.6129199999999</v>
      </c>
      <c r="L158" s="31"/>
      <c r="M158" s="26"/>
      <c r="N158" s="23"/>
      <c r="O158" s="73"/>
      <c r="P158" s="73"/>
    </row>
    <row r="159" spans="1:16" s="74" customFormat="1" ht="12.75">
      <c r="A159" s="260" t="s">
        <v>618</v>
      </c>
      <c r="B159" s="82" t="s">
        <v>289</v>
      </c>
      <c r="C159" s="97">
        <v>160108</v>
      </c>
      <c r="D159" s="360" t="s">
        <v>209</v>
      </c>
      <c r="E159" s="360"/>
      <c r="F159" s="360"/>
      <c r="G159" s="360"/>
      <c r="H159" s="56" t="s">
        <v>35</v>
      </c>
      <c r="I159" s="92">
        <v>1</v>
      </c>
      <c r="J159" s="88">
        <v>105.43</v>
      </c>
      <c r="K159" s="89">
        <f t="shared" si="6"/>
        <v>105.43</v>
      </c>
      <c r="L159" s="31"/>
      <c r="M159" s="26"/>
      <c r="N159" s="23"/>
      <c r="O159" s="73"/>
      <c r="P159" s="73"/>
    </row>
    <row r="160" spans="1:16" s="74" customFormat="1" ht="12.75">
      <c r="A160" s="260" t="s">
        <v>619</v>
      </c>
      <c r="B160" s="82" t="s">
        <v>289</v>
      </c>
      <c r="C160" s="97">
        <v>160120</v>
      </c>
      <c r="D160" s="360" t="s">
        <v>42</v>
      </c>
      <c r="E160" s="360"/>
      <c r="F160" s="360"/>
      <c r="G160" s="360"/>
      <c r="H160" s="56" t="s">
        <v>35</v>
      </c>
      <c r="I160" s="92">
        <v>2</v>
      </c>
      <c r="J160" s="88">
        <v>31.57</v>
      </c>
      <c r="K160" s="89">
        <f t="shared" si="6"/>
        <v>63.14</v>
      </c>
      <c r="L160" s="31"/>
      <c r="M160" s="26"/>
      <c r="N160" s="23"/>
      <c r="O160" s="73"/>
      <c r="P160" s="73"/>
    </row>
    <row r="161" spans="1:16" s="74" customFormat="1" ht="12.75">
      <c r="A161" s="262" t="s">
        <v>337</v>
      </c>
      <c r="B161" s="82"/>
      <c r="C161" s="97"/>
      <c r="D161" s="359" t="s">
        <v>346</v>
      </c>
      <c r="E161" s="359"/>
      <c r="F161" s="359"/>
      <c r="G161" s="359"/>
      <c r="H161" s="56"/>
      <c r="I161" s="92"/>
      <c r="J161" s="95"/>
      <c r="K161" s="96">
        <f>J161*I161</f>
        <v>0</v>
      </c>
      <c r="L161" s="31"/>
      <c r="M161" s="26"/>
      <c r="N161" s="23"/>
      <c r="O161" s="73"/>
      <c r="P161" s="73"/>
    </row>
    <row r="162" spans="1:16" s="74" customFormat="1" ht="24.75" customHeight="1">
      <c r="A162" s="260" t="s">
        <v>338</v>
      </c>
      <c r="B162" s="115" t="s">
        <v>321</v>
      </c>
      <c r="C162" s="62">
        <v>160805</v>
      </c>
      <c r="D162" s="360" t="s">
        <v>252</v>
      </c>
      <c r="E162" s="360"/>
      <c r="F162" s="360"/>
      <c r="G162" s="360"/>
      <c r="H162" s="56" t="s">
        <v>35</v>
      </c>
      <c r="I162" s="92">
        <v>6</v>
      </c>
      <c r="J162" s="88">
        <f>205.51*1.309</f>
        <v>269.01259</v>
      </c>
      <c r="K162" s="89">
        <f t="shared" si="6"/>
        <v>1614.0755399999998</v>
      </c>
      <c r="L162" s="31"/>
      <c r="M162" s="26"/>
      <c r="N162" s="23"/>
      <c r="O162" s="73"/>
      <c r="P162" s="73"/>
    </row>
    <row r="163" spans="1:16" s="74" customFormat="1" ht="12.75">
      <c r="A163" s="256" t="s">
        <v>278</v>
      </c>
      <c r="B163" s="84"/>
      <c r="C163" s="85"/>
      <c r="D163" s="365" t="s">
        <v>45</v>
      </c>
      <c r="E163" s="365"/>
      <c r="F163" s="365"/>
      <c r="G163" s="365"/>
      <c r="H163" s="79"/>
      <c r="I163" s="86"/>
      <c r="J163" s="87"/>
      <c r="K163" s="83">
        <f>SUM(K165:K182)</f>
        <v>20723.551142999997</v>
      </c>
      <c r="L163" s="31"/>
      <c r="M163" s="26"/>
      <c r="N163" s="23"/>
      <c r="O163" s="73"/>
      <c r="P163" s="73"/>
    </row>
    <row r="164" spans="1:16" s="74" customFormat="1" ht="12.75">
      <c r="A164" s="262" t="s">
        <v>13</v>
      </c>
      <c r="B164" s="82"/>
      <c r="C164" s="97"/>
      <c r="D164" s="359" t="s">
        <v>210</v>
      </c>
      <c r="E164" s="359"/>
      <c r="F164" s="359"/>
      <c r="G164" s="359"/>
      <c r="H164" s="56"/>
      <c r="I164" s="92"/>
      <c r="J164" s="95"/>
      <c r="K164" s="96">
        <f t="shared" si="6"/>
        <v>0</v>
      </c>
      <c r="L164" s="31"/>
      <c r="M164" s="26"/>
      <c r="N164" s="23"/>
      <c r="O164" s="73"/>
      <c r="P164" s="73"/>
    </row>
    <row r="165" spans="1:16" s="74" customFormat="1" ht="25.5" customHeight="1">
      <c r="A165" s="260" t="s">
        <v>241</v>
      </c>
      <c r="B165" s="82" t="s">
        <v>289</v>
      </c>
      <c r="C165" s="97">
        <v>180102</v>
      </c>
      <c r="D165" s="360" t="s">
        <v>211</v>
      </c>
      <c r="E165" s="360"/>
      <c r="F165" s="360"/>
      <c r="G165" s="360"/>
      <c r="H165" s="56" t="s">
        <v>35</v>
      </c>
      <c r="I165" s="92">
        <v>8</v>
      </c>
      <c r="J165" s="88">
        <v>105.99</v>
      </c>
      <c r="K165" s="89">
        <f t="shared" si="6"/>
        <v>847.92</v>
      </c>
      <c r="L165" s="31"/>
      <c r="M165" s="26"/>
      <c r="N165" s="23"/>
      <c r="O165" s="73"/>
      <c r="P165" s="73"/>
    </row>
    <row r="166" spans="1:16" s="74" customFormat="1" ht="24" customHeight="1">
      <c r="A166" s="260" t="s">
        <v>242</v>
      </c>
      <c r="B166" s="115" t="s">
        <v>321</v>
      </c>
      <c r="C166" s="62">
        <v>180105</v>
      </c>
      <c r="D166" s="360" t="s">
        <v>212</v>
      </c>
      <c r="E166" s="360"/>
      <c r="F166" s="360"/>
      <c r="G166" s="360"/>
      <c r="H166" s="56" t="s">
        <v>35</v>
      </c>
      <c r="I166" s="92">
        <v>3</v>
      </c>
      <c r="J166" s="88">
        <f>36.42*1.309</f>
        <v>47.67378</v>
      </c>
      <c r="K166" s="89">
        <f t="shared" si="6"/>
        <v>143.02134</v>
      </c>
      <c r="L166" s="31"/>
      <c r="M166" s="26"/>
      <c r="N166" s="23"/>
      <c r="O166" s="73"/>
      <c r="P166" s="73"/>
    </row>
    <row r="167" spans="1:16" s="74" customFormat="1" ht="12.75">
      <c r="A167" s="262" t="s">
        <v>49</v>
      </c>
      <c r="B167" s="82"/>
      <c r="C167" s="97"/>
      <c r="D167" s="381" t="s">
        <v>213</v>
      </c>
      <c r="E167" s="381"/>
      <c r="F167" s="381"/>
      <c r="G167" s="381"/>
      <c r="H167" s="56"/>
      <c r="I167" s="92"/>
      <c r="J167" s="95"/>
      <c r="K167" s="96">
        <f t="shared" si="6"/>
        <v>0</v>
      </c>
      <c r="L167" s="31"/>
      <c r="M167" s="26"/>
      <c r="N167" s="23"/>
      <c r="O167" s="73"/>
      <c r="P167" s="73"/>
    </row>
    <row r="168" spans="1:16" s="74" customFormat="1" ht="12.75">
      <c r="A168" s="260" t="s">
        <v>243</v>
      </c>
      <c r="B168" s="82" t="s">
        <v>289</v>
      </c>
      <c r="C168" s="97">
        <v>180201</v>
      </c>
      <c r="D168" s="360" t="s">
        <v>214</v>
      </c>
      <c r="E168" s="360"/>
      <c r="F168" s="360"/>
      <c r="G168" s="360"/>
      <c r="H168" s="56" t="s">
        <v>35</v>
      </c>
      <c r="I168" s="92">
        <v>19</v>
      </c>
      <c r="J168" s="88">
        <v>27.48</v>
      </c>
      <c r="K168" s="89">
        <f t="shared" si="6"/>
        <v>522.12</v>
      </c>
      <c r="L168" s="31"/>
      <c r="M168" s="26"/>
      <c r="N168" s="23"/>
      <c r="O168" s="73"/>
      <c r="P168" s="73"/>
    </row>
    <row r="169" spans="1:16" s="74" customFormat="1" ht="12.75">
      <c r="A169" s="260" t="s">
        <v>623</v>
      </c>
      <c r="B169" s="82" t="s">
        <v>289</v>
      </c>
      <c r="C169" s="97">
        <v>180202</v>
      </c>
      <c r="D169" s="360" t="s">
        <v>15</v>
      </c>
      <c r="E169" s="360"/>
      <c r="F169" s="360"/>
      <c r="G169" s="360"/>
      <c r="H169" s="56" t="s">
        <v>35</v>
      </c>
      <c r="I169" s="92">
        <v>4</v>
      </c>
      <c r="J169" s="88">
        <v>32.33</v>
      </c>
      <c r="K169" s="89">
        <f t="shared" si="6"/>
        <v>129.32</v>
      </c>
      <c r="L169" s="31"/>
      <c r="M169" s="26"/>
      <c r="N169" s="23"/>
      <c r="O169" s="73"/>
      <c r="P169" s="73"/>
    </row>
    <row r="170" spans="1:16" s="74" customFormat="1" ht="12.75">
      <c r="A170" s="260" t="s">
        <v>624</v>
      </c>
      <c r="B170" s="82" t="s">
        <v>289</v>
      </c>
      <c r="C170" s="97">
        <v>180204</v>
      </c>
      <c r="D170" s="360" t="s">
        <v>215</v>
      </c>
      <c r="E170" s="360"/>
      <c r="F170" s="360"/>
      <c r="G170" s="360"/>
      <c r="H170" s="56" t="s">
        <v>35</v>
      </c>
      <c r="I170" s="92">
        <v>4</v>
      </c>
      <c r="J170" s="88">
        <v>20.93</v>
      </c>
      <c r="K170" s="89">
        <f t="shared" si="6"/>
        <v>83.72</v>
      </c>
      <c r="L170" s="31"/>
      <c r="M170" s="26"/>
      <c r="N170" s="23"/>
      <c r="O170" s="73"/>
      <c r="P170" s="73"/>
    </row>
    <row r="171" spans="1:16" s="74" customFormat="1" ht="27" customHeight="1">
      <c r="A171" s="260" t="s">
        <v>625</v>
      </c>
      <c r="B171" s="82" t="s">
        <v>289</v>
      </c>
      <c r="C171" s="97">
        <v>180207</v>
      </c>
      <c r="D171" s="360" t="s">
        <v>216</v>
      </c>
      <c r="E171" s="360"/>
      <c r="F171" s="360"/>
      <c r="G171" s="360"/>
      <c r="H171" s="56" t="s">
        <v>35</v>
      </c>
      <c r="I171" s="92">
        <v>5</v>
      </c>
      <c r="J171" s="88">
        <v>30.66</v>
      </c>
      <c r="K171" s="89">
        <f t="shared" si="6"/>
        <v>153.3</v>
      </c>
      <c r="L171" s="31"/>
      <c r="M171" s="26"/>
      <c r="N171" s="23"/>
      <c r="O171" s="73"/>
      <c r="P171" s="73"/>
    </row>
    <row r="172" spans="1:16" s="74" customFormat="1" ht="12.75">
      <c r="A172" s="262" t="s">
        <v>620</v>
      </c>
      <c r="B172" s="82"/>
      <c r="C172" s="97"/>
      <c r="D172" s="381" t="s">
        <v>45</v>
      </c>
      <c r="E172" s="381"/>
      <c r="F172" s="381"/>
      <c r="G172" s="381"/>
      <c r="H172" s="56"/>
      <c r="I172" s="92"/>
      <c r="J172" s="95"/>
      <c r="K172" s="96">
        <f t="shared" si="6"/>
        <v>0</v>
      </c>
      <c r="L172" s="31"/>
      <c r="M172" s="26"/>
      <c r="N172" s="23"/>
      <c r="O172" s="73"/>
      <c r="P172" s="73"/>
    </row>
    <row r="173" spans="1:16" s="74" customFormat="1" ht="12.75">
      <c r="A173" s="260" t="s">
        <v>622</v>
      </c>
      <c r="B173" s="82" t="s">
        <v>289</v>
      </c>
      <c r="C173" s="97">
        <v>180809</v>
      </c>
      <c r="D173" s="360" t="s">
        <v>217</v>
      </c>
      <c r="E173" s="360"/>
      <c r="F173" s="360"/>
      <c r="G173" s="360"/>
      <c r="H173" s="56" t="s">
        <v>35</v>
      </c>
      <c r="I173" s="92">
        <v>3</v>
      </c>
      <c r="J173" s="88">
        <v>75.46</v>
      </c>
      <c r="K173" s="89">
        <f>J173*I173</f>
        <v>226.38</v>
      </c>
      <c r="L173" s="31"/>
      <c r="M173" s="26"/>
      <c r="N173" s="23"/>
      <c r="O173" s="73"/>
      <c r="P173" s="73"/>
    </row>
    <row r="174" spans="1:16" s="74" customFormat="1" ht="27" customHeight="1">
      <c r="A174" s="260" t="s">
        <v>626</v>
      </c>
      <c r="B174" s="82" t="s">
        <v>527</v>
      </c>
      <c r="C174" s="62"/>
      <c r="D174" s="383" t="s">
        <v>218</v>
      </c>
      <c r="E174" s="383"/>
      <c r="F174" s="383"/>
      <c r="G174" s="383"/>
      <c r="H174" s="56" t="s">
        <v>35</v>
      </c>
      <c r="I174" s="92">
        <v>3</v>
      </c>
      <c r="J174" s="88">
        <f>2234.67</f>
        <v>2234.67</v>
      </c>
      <c r="K174" s="89">
        <f>J174*I174</f>
        <v>6704.01</v>
      </c>
      <c r="L174" s="31"/>
      <c r="M174" s="26"/>
      <c r="N174" s="23"/>
      <c r="O174" s="73"/>
      <c r="P174" s="73"/>
    </row>
    <row r="175" spans="1:16" s="74" customFormat="1" ht="12.75">
      <c r="A175" s="262" t="s">
        <v>621</v>
      </c>
      <c r="B175" s="82"/>
      <c r="C175" s="97"/>
      <c r="D175" s="381" t="s">
        <v>350</v>
      </c>
      <c r="E175" s="381"/>
      <c r="F175" s="381"/>
      <c r="G175" s="381"/>
      <c r="H175" s="56"/>
      <c r="I175" s="92"/>
      <c r="J175" s="95"/>
      <c r="K175" s="96">
        <f>J175*I175</f>
        <v>0</v>
      </c>
      <c r="L175" s="31"/>
      <c r="M175" s="26"/>
      <c r="N175" s="23"/>
      <c r="O175" s="73"/>
      <c r="P175" s="73"/>
    </row>
    <row r="176" spans="1:16" s="74" customFormat="1" ht="12.75">
      <c r="A176" s="260" t="s">
        <v>627</v>
      </c>
      <c r="B176" s="113" t="s">
        <v>289</v>
      </c>
      <c r="C176" s="318" t="s">
        <v>359</v>
      </c>
      <c r="D176" s="360" t="s">
        <v>358</v>
      </c>
      <c r="E176" s="360"/>
      <c r="F176" s="360"/>
      <c r="G176" s="360"/>
      <c r="H176" s="56" t="s">
        <v>35</v>
      </c>
      <c r="I176" s="92">
        <v>16</v>
      </c>
      <c r="J176" s="88">
        <v>6.47</v>
      </c>
      <c r="K176" s="89">
        <f t="shared" si="6"/>
        <v>103.52</v>
      </c>
      <c r="L176" s="31"/>
      <c r="M176" s="26"/>
      <c r="N176" s="23"/>
      <c r="O176" s="73"/>
      <c r="P176" s="73"/>
    </row>
    <row r="177" spans="1:16" s="74" customFormat="1" ht="12.75">
      <c r="A177" s="262" t="s">
        <v>628</v>
      </c>
      <c r="B177" s="82"/>
      <c r="C177" s="97"/>
      <c r="D177" s="381" t="s">
        <v>425</v>
      </c>
      <c r="E177" s="381"/>
      <c r="F177" s="381"/>
      <c r="G177" s="381"/>
      <c r="H177" s="56"/>
      <c r="I177" s="92"/>
      <c r="J177" s="95"/>
      <c r="K177" s="96">
        <f>J177*I177</f>
        <v>0</v>
      </c>
      <c r="L177" s="31"/>
      <c r="M177" s="26"/>
      <c r="N177" s="23"/>
      <c r="O177" s="73"/>
      <c r="P177" s="73"/>
    </row>
    <row r="178" spans="1:16" s="74" customFormat="1" ht="38.25" customHeight="1">
      <c r="A178" s="260" t="s">
        <v>629</v>
      </c>
      <c r="B178" s="82" t="s">
        <v>541</v>
      </c>
      <c r="C178" s="318"/>
      <c r="D178" s="360" t="s">
        <v>426</v>
      </c>
      <c r="E178" s="360"/>
      <c r="F178" s="360"/>
      <c r="G178" s="360"/>
      <c r="H178" s="56" t="s">
        <v>35</v>
      </c>
      <c r="I178" s="92">
        <v>4</v>
      </c>
      <c r="J178" s="88">
        <f>'COMP 03'!C47</f>
        <v>2616.2875007499997</v>
      </c>
      <c r="K178" s="89">
        <f>J178*I178</f>
        <v>10465.150002999999</v>
      </c>
      <c r="L178" s="31"/>
      <c r="M178" s="26"/>
      <c r="N178" s="23"/>
      <c r="O178" s="73"/>
      <c r="P178" s="73"/>
    </row>
    <row r="179" spans="1:16" s="74" customFormat="1" ht="12.75">
      <c r="A179" s="262" t="s">
        <v>630</v>
      </c>
      <c r="B179" s="82"/>
      <c r="C179" s="97"/>
      <c r="D179" s="381" t="s">
        <v>155</v>
      </c>
      <c r="E179" s="381"/>
      <c r="F179" s="381"/>
      <c r="G179" s="381"/>
      <c r="H179" s="56"/>
      <c r="I179" s="92"/>
      <c r="J179" s="95" t="s">
        <v>781</v>
      </c>
      <c r="K179" s="96"/>
      <c r="L179" s="31"/>
      <c r="M179" s="26"/>
      <c r="N179" s="23"/>
      <c r="O179" s="73"/>
      <c r="P179" s="73"/>
    </row>
    <row r="180" spans="1:16" s="74" customFormat="1" ht="68.25" customHeight="1">
      <c r="A180" s="260" t="s">
        <v>631</v>
      </c>
      <c r="B180" s="82" t="s">
        <v>361</v>
      </c>
      <c r="C180" s="62" t="s">
        <v>362</v>
      </c>
      <c r="D180" s="392" t="s">
        <v>360</v>
      </c>
      <c r="E180" s="392"/>
      <c r="F180" s="392"/>
      <c r="G180" s="392"/>
      <c r="H180" s="56" t="s">
        <v>35</v>
      </c>
      <c r="I180" s="92">
        <v>1</v>
      </c>
      <c r="J180" s="88">
        <f>829.26*1.23</f>
        <v>1019.9898</v>
      </c>
      <c r="K180" s="89">
        <f aca="true" t="shared" si="7" ref="K180:K202">I180*J180</f>
        <v>1019.9898</v>
      </c>
      <c r="L180" s="31"/>
      <c r="M180" s="26"/>
      <c r="N180" s="23"/>
      <c r="O180" s="73"/>
      <c r="P180" s="73"/>
    </row>
    <row r="181" spans="1:16" s="74" customFormat="1" ht="12.75">
      <c r="A181" s="262" t="s">
        <v>632</v>
      </c>
      <c r="B181" s="82"/>
      <c r="C181" s="97"/>
      <c r="D181" s="381" t="s">
        <v>43</v>
      </c>
      <c r="E181" s="381"/>
      <c r="F181" s="381"/>
      <c r="G181" s="381"/>
      <c r="H181" s="56"/>
      <c r="I181" s="92"/>
      <c r="J181" s="95"/>
      <c r="K181" s="96">
        <f t="shared" si="7"/>
        <v>0</v>
      </c>
      <c r="L181" s="31"/>
      <c r="M181" s="26"/>
      <c r="N181" s="23"/>
      <c r="O181" s="73"/>
      <c r="P181" s="73"/>
    </row>
    <row r="182" spans="1:16" s="74" customFormat="1" ht="27" customHeight="1">
      <c r="A182" s="260" t="s">
        <v>633</v>
      </c>
      <c r="B182" s="82" t="s">
        <v>289</v>
      </c>
      <c r="C182" s="97">
        <v>160604</v>
      </c>
      <c r="D182" s="360" t="s">
        <v>156</v>
      </c>
      <c r="E182" s="360"/>
      <c r="F182" s="360"/>
      <c r="G182" s="360"/>
      <c r="H182" s="56" t="s">
        <v>35</v>
      </c>
      <c r="I182" s="92">
        <v>2</v>
      </c>
      <c r="J182" s="88">
        <v>162.55</v>
      </c>
      <c r="K182" s="89">
        <f t="shared" si="7"/>
        <v>325.1</v>
      </c>
      <c r="L182" s="31"/>
      <c r="M182" s="26"/>
      <c r="N182" s="23"/>
      <c r="O182" s="73"/>
      <c r="P182" s="73"/>
    </row>
    <row r="183" spans="1:16" s="74" customFormat="1" ht="12.75">
      <c r="A183" s="256" t="s">
        <v>279</v>
      </c>
      <c r="B183" s="84"/>
      <c r="C183" s="85"/>
      <c r="D183" s="365" t="s">
        <v>513</v>
      </c>
      <c r="E183" s="365"/>
      <c r="F183" s="365"/>
      <c r="G183" s="365"/>
      <c r="H183" s="79"/>
      <c r="I183" s="86"/>
      <c r="J183" s="87"/>
      <c r="K183" s="83">
        <f>SUM(K185:K202)</f>
        <v>8244.505000000001</v>
      </c>
      <c r="L183" s="31"/>
      <c r="M183" s="26"/>
      <c r="N183" s="23"/>
      <c r="O183" s="73"/>
      <c r="P183" s="73"/>
    </row>
    <row r="184" spans="1:16" s="74" customFormat="1" ht="12.75">
      <c r="A184" s="262" t="s">
        <v>50</v>
      </c>
      <c r="B184" s="82"/>
      <c r="C184" s="97"/>
      <c r="D184" s="381" t="s">
        <v>157</v>
      </c>
      <c r="E184" s="381"/>
      <c r="F184" s="381"/>
      <c r="G184" s="381"/>
      <c r="H184" s="56"/>
      <c r="I184" s="92"/>
      <c r="J184" s="95"/>
      <c r="K184" s="96">
        <f t="shared" si="7"/>
        <v>0</v>
      </c>
      <c r="L184" s="31"/>
      <c r="M184" s="26"/>
      <c r="N184" s="23"/>
      <c r="O184" s="73"/>
      <c r="P184" s="73"/>
    </row>
    <row r="185" spans="1:16" s="74" customFormat="1" ht="25.5" customHeight="1">
      <c r="A185" s="260" t="s">
        <v>244</v>
      </c>
      <c r="B185" s="82" t="s">
        <v>289</v>
      </c>
      <c r="C185" s="97">
        <v>170136</v>
      </c>
      <c r="D185" s="360" t="s">
        <v>164</v>
      </c>
      <c r="E185" s="360"/>
      <c r="F185" s="360"/>
      <c r="G185" s="360"/>
      <c r="H185" s="56" t="s">
        <v>35</v>
      </c>
      <c r="I185" s="92">
        <v>2</v>
      </c>
      <c r="J185" s="88">
        <v>823.22</v>
      </c>
      <c r="K185" s="89">
        <f t="shared" si="7"/>
        <v>1646.44</v>
      </c>
      <c r="L185" s="31"/>
      <c r="M185" s="26"/>
      <c r="N185" s="23"/>
      <c r="O185" s="73"/>
      <c r="P185" s="73"/>
    </row>
    <row r="186" spans="1:16" s="74" customFormat="1" ht="12.75">
      <c r="A186" s="260" t="s">
        <v>245</v>
      </c>
      <c r="B186" s="82" t="s">
        <v>289</v>
      </c>
      <c r="C186" s="97">
        <v>170108</v>
      </c>
      <c r="D186" s="360" t="s">
        <v>158</v>
      </c>
      <c r="E186" s="360"/>
      <c r="F186" s="360"/>
      <c r="G186" s="360"/>
      <c r="H186" s="56" t="s">
        <v>35</v>
      </c>
      <c r="I186" s="92">
        <v>3</v>
      </c>
      <c r="J186" s="88">
        <v>66.58</v>
      </c>
      <c r="K186" s="89">
        <f t="shared" si="7"/>
        <v>199.74</v>
      </c>
      <c r="L186" s="31"/>
      <c r="M186" s="26"/>
      <c r="N186" s="23"/>
      <c r="O186" s="73"/>
      <c r="P186" s="73"/>
    </row>
    <row r="187" spans="1:16" s="74" customFormat="1" ht="12.75">
      <c r="A187" s="260" t="s">
        <v>634</v>
      </c>
      <c r="B187" s="82" t="s">
        <v>289</v>
      </c>
      <c r="C187" s="97">
        <v>170111</v>
      </c>
      <c r="D187" s="360" t="s">
        <v>159</v>
      </c>
      <c r="E187" s="360"/>
      <c r="F187" s="360"/>
      <c r="G187" s="360"/>
      <c r="H187" s="56" t="s">
        <v>35</v>
      </c>
      <c r="I187" s="92">
        <v>2</v>
      </c>
      <c r="J187" s="88">
        <v>64.43</v>
      </c>
      <c r="K187" s="89">
        <f t="shared" si="7"/>
        <v>128.86</v>
      </c>
      <c r="L187" s="31"/>
      <c r="M187" s="26"/>
      <c r="N187" s="23"/>
      <c r="O187" s="73"/>
      <c r="P187" s="73"/>
    </row>
    <row r="188" spans="1:16" s="74" customFormat="1" ht="12.75">
      <c r="A188" s="260" t="s">
        <v>635</v>
      </c>
      <c r="B188" s="82" t="s">
        <v>289</v>
      </c>
      <c r="C188" s="97">
        <v>170133</v>
      </c>
      <c r="D188" s="360" t="s">
        <v>254</v>
      </c>
      <c r="E188" s="360"/>
      <c r="F188" s="360"/>
      <c r="G188" s="360"/>
      <c r="H188" s="56" t="s">
        <v>35</v>
      </c>
      <c r="I188" s="92">
        <v>3</v>
      </c>
      <c r="J188" s="88">
        <v>273.5</v>
      </c>
      <c r="K188" s="89">
        <f t="shared" si="7"/>
        <v>820.5</v>
      </c>
      <c r="L188" s="31"/>
      <c r="M188" s="26"/>
      <c r="N188" s="23"/>
      <c r="O188" s="73"/>
      <c r="P188" s="73"/>
    </row>
    <row r="189" spans="1:16" s="74" customFormat="1" ht="12.75">
      <c r="A189" s="260" t="s">
        <v>636</v>
      </c>
      <c r="B189" s="82" t="s">
        <v>289</v>
      </c>
      <c r="C189" s="97">
        <v>170107</v>
      </c>
      <c r="D189" s="360" t="s">
        <v>328</v>
      </c>
      <c r="E189" s="360"/>
      <c r="F189" s="360"/>
      <c r="G189" s="360"/>
      <c r="H189" s="56" t="s">
        <v>35</v>
      </c>
      <c r="I189" s="92">
        <v>2</v>
      </c>
      <c r="J189" s="88">
        <v>408.28</v>
      </c>
      <c r="K189" s="89">
        <f>I189*J189</f>
        <v>816.56</v>
      </c>
      <c r="L189" s="31"/>
      <c r="M189" s="26"/>
      <c r="N189" s="23"/>
      <c r="O189" s="73"/>
      <c r="P189" s="73"/>
    </row>
    <row r="190" spans="1:16" s="74" customFormat="1" ht="24.75" customHeight="1">
      <c r="A190" s="260" t="s">
        <v>637</v>
      </c>
      <c r="B190" s="82" t="s">
        <v>289</v>
      </c>
      <c r="C190" s="97">
        <v>170530</v>
      </c>
      <c r="D190" s="360" t="s">
        <v>529</v>
      </c>
      <c r="E190" s="360"/>
      <c r="F190" s="360"/>
      <c r="G190" s="360"/>
      <c r="H190" s="56" t="s">
        <v>35</v>
      </c>
      <c r="I190" s="92">
        <v>1</v>
      </c>
      <c r="J190" s="88">
        <v>355.25</v>
      </c>
      <c r="K190" s="89">
        <f>I190*J190</f>
        <v>355.25</v>
      </c>
      <c r="L190" s="31"/>
      <c r="M190" s="26"/>
      <c r="N190" s="23"/>
      <c r="O190" s="73"/>
      <c r="P190" s="73"/>
    </row>
    <row r="191" spans="1:16" s="74" customFormat="1" ht="13.5" customHeight="1">
      <c r="A191" s="262" t="s">
        <v>51</v>
      </c>
      <c r="B191" s="82"/>
      <c r="C191" s="97"/>
      <c r="D191" s="381" t="s">
        <v>329</v>
      </c>
      <c r="E191" s="381"/>
      <c r="F191" s="381"/>
      <c r="G191" s="381"/>
      <c r="H191" s="56"/>
      <c r="I191" s="92"/>
      <c r="J191" s="95"/>
      <c r="K191" s="96">
        <f>I191*J191</f>
        <v>0</v>
      </c>
      <c r="L191" s="31"/>
      <c r="M191" s="26"/>
      <c r="N191" s="23"/>
      <c r="O191" s="73"/>
      <c r="P191" s="73"/>
    </row>
    <row r="192" spans="1:16" s="74" customFormat="1" ht="13.5" customHeight="1">
      <c r="A192" s="260" t="s">
        <v>245</v>
      </c>
      <c r="B192" s="82" t="s">
        <v>289</v>
      </c>
      <c r="C192" s="97">
        <v>170220</v>
      </c>
      <c r="D192" s="360" t="s">
        <v>253</v>
      </c>
      <c r="E192" s="360"/>
      <c r="F192" s="360"/>
      <c r="G192" s="360"/>
      <c r="H192" s="56" t="s">
        <v>59</v>
      </c>
      <c r="I192" s="92">
        <v>2.5</v>
      </c>
      <c r="J192" s="88">
        <v>405.23</v>
      </c>
      <c r="K192" s="89">
        <f>I192*J192</f>
        <v>1013.075</v>
      </c>
      <c r="L192" s="31"/>
      <c r="M192" s="26"/>
      <c r="N192" s="23"/>
      <c r="O192" s="73"/>
      <c r="P192" s="73"/>
    </row>
    <row r="193" spans="1:16" s="74" customFormat="1" ht="13.5" customHeight="1">
      <c r="A193" s="262" t="s">
        <v>58</v>
      </c>
      <c r="B193" s="82"/>
      <c r="C193" s="97"/>
      <c r="D193" s="381" t="s">
        <v>160</v>
      </c>
      <c r="E193" s="381"/>
      <c r="F193" s="381"/>
      <c r="G193" s="381"/>
      <c r="H193" s="56"/>
      <c r="I193" s="92"/>
      <c r="J193" s="95"/>
      <c r="K193" s="96">
        <f t="shared" si="7"/>
        <v>0</v>
      </c>
      <c r="L193" s="31"/>
      <c r="M193" s="26"/>
      <c r="N193" s="23"/>
      <c r="O193" s="73"/>
      <c r="P193" s="73"/>
    </row>
    <row r="194" spans="1:16" s="74" customFormat="1" ht="13.5" customHeight="1">
      <c r="A194" s="260" t="s">
        <v>246</v>
      </c>
      <c r="B194" s="82" t="s">
        <v>289</v>
      </c>
      <c r="C194" s="97">
        <v>170304</v>
      </c>
      <c r="D194" s="360" t="s">
        <v>161</v>
      </c>
      <c r="E194" s="360"/>
      <c r="F194" s="360"/>
      <c r="G194" s="360"/>
      <c r="H194" s="56" t="s">
        <v>35</v>
      </c>
      <c r="I194" s="92">
        <v>3</v>
      </c>
      <c r="J194" s="88">
        <v>84.31</v>
      </c>
      <c r="K194" s="89">
        <f t="shared" si="7"/>
        <v>252.93</v>
      </c>
      <c r="L194" s="31"/>
      <c r="M194" s="26"/>
      <c r="N194" s="23"/>
      <c r="O194" s="73"/>
      <c r="P194" s="73"/>
    </row>
    <row r="195" spans="1:16" s="74" customFormat="1" ht="13.5" customHeight="1">
      <c r="A195" s="260" t="s">
        <v>247</v>
      </c>
      <c r="B195" s="82" t="s">
        <v>289</v>
      </c>
      <c r="C195" s="97">
        <v>170306</v>
      </c>
      <c r="D195" s="360" t="s">
        <v>330</v>
      </c>
      <c r="E195" s="360"/>
      <c r="F195" s="360"/>
      <c r="G195" s="360"/>
      <c r="H195" s="56" t="s">
        <v>35</v>
      </c>
      <c r="I195" s="92">
        <v>1</v>
      </c>
      <c r="J195" s="88">
        <v>87.73</v>
      </c>
      <c r="K195" s="89">
        <f t="shared" si="7"/>
        <v>87.73</v>
      </c>
      <c r="L195" s="31"/>
      <c r="M195" s="26"/>
      <c r="N195" s="23"/>
      <c r="O195" s="73"/>
      <c r="P195" s="73"/>
    </row>
    <row r="196" spans="1:16" s="74" customFormat="1" ht="13.5" customHeight="1">
      <c r="A196" s="260" t="s">
        <v>638</v>
      </c>
      <c r="B196" s="82" t="s">
        <v>289</v>
      </c>
      <c r="C196" s="97">
        <v>170309</v>
      </c>
      <c r="D196" s="360" t="s">
        <v>162</v>
      </c>
      <c r="E196" s="360"/>
      <c r="F196" s="360"/>
      <c r="G196" s="360"/>
      <c r="H196" s="56" t="s">
        <v>35</v>
      </c>
      <c r="I196" s="92">
        <v>2</v>
      </c>
      <c r="J196" s="88">
        <v>66.13</v>
      </c>
      <c r="K196" s="89">
        <f>I196*J196</f>
        <v>132.26</v>
      </c>
      <c r="L196" s="31"/>
      <c r="M196" s="26"/>
      <c r="N196" s="23"/>
      <c r="O196" s="73"/>
      <c r="P196" s="73"/>
    </row>
    <row r="197" spans="1:16" s="74" customFormat="1" ht="13.5" customHeight="1">
      <c r="A197" s="260" t="s">
        <v>639</v>
      </c>
      <c r="B197" s="82" t="s">
        <v>289</v>
      </c>
      <c r="C197" s="97">
        <v>170315</v>
      </c>
      <c r="D197" s="360" t="s">
        <v>531</v>
      </c>
      <c r="E197" s="360"/>
      <c r="F197" s="360"/>
      <c r="G197" s="360"/>
      <c r="H197" s="56" t="s">
        <v>35</v>
      </c>
      <c r="I197" s="92">
        <v>1</v>
      </c>
      <c r="J197" s="88">
        <v>94.6</v>
      </c>
      <c r="K197" s="89">
        <f>I197*J197</f>
        <v>94.6</v>
      </c>
      <c r="L197" s="31"/>
      <c r="M197" s="26"/>
      <c r="N197" s="23"/>
      <c r="O197" s="73"/>
      <c r="P197" s="73"/>
    </row>
    <row r="198" spans="1:16" s="74" customFormat="1" ht="26.25" customHeight="1">
      <c r="A198" s="260" t="s">
        <v>640</v>
      </c>
      <c r="B198" s="82" t="s">
        <v>289</v>
      </c>
      <c r="C198" s="97">
        <v>170317</v>
      </c>
      <c r="D198" s="360" t="s">
        <v>530</v>
      </c>
      <c r="E198" s="360"/>
      <c r="F198" s="360"/>
      <c r="G198" s="360"/>
      <c r="H198" s="56" t="s">
        <v>35</v>
      </c>
      <c r="I198" s="92">
        <v>3</v>
      </c>
      <c r="J198" s="88">
        <v>61.88</v>
      </c>
      <c r="K198" s="89">
        <f>I198*J198</f>
        <v>185.64000000000001</v>
      </c>
      <c r="L198" s="31"/>
      <c r="M198" s="26"/>
      <c r="N198" s="23"/>
      <c r="O198" s="73"/>
      <c r="P198" s="73"/>
    </row>
    <row r="199" spans="1:16" s="74" customFormat="1" ht="12.75">
      <c r="A199" s="262" t="s">
        <v>348</v>
      </c>
      <c r="B199" s="82"/>
      <c r="C199" s="97"/>
      <c r="D199" s="381" t="s">
        <v>163</v>
      </c>
      <c r="E199" s="381"/>
      <c r="F199" s="381"/>
      <c r="G199" s="381"/>
      <c r="H199" s="56"/>
      <c r="I199" s="92"/>
      <c r="J199" s="95"/>
      <c r="K199" s="96">
        <f t="shared" si="7"/>
        <v>0</v>
      </c>
      <c r="L199" s="31"/>
      <c r="M199" s="26"/>
      <c r="N199" s="23"/>
      <c r="O199" s="73"/>
      <c r="P199" s="73"/>
    </row>
    <row r="200" spans="1:16" s="74" customFormat="1" ht="25.5" customHeight="1">
      <c r="A200" s="260" t="s">
        <v>349</v>
      </c>
      <c r="B200" s="82" t="s">
        <v>289</v>
      </c>
      <c r="C200" s="97">
        <v>170509</v>
      </c>
      <c r="D200" s="360" t="s">
        <v>331</v>
      </c>
      <c r="E200" s="360"/>
      <c r="F200" s="360"/>
      <c r="G200" s="360"/>
      <c r="H200" s="56" t="s">
        <v>35</v>
      </c>
      <c r="I200" s="92">
        <v>1</v>
      </c>
      <c r="J200" s="88">
        <v>1488.41</v>
      </c>
      <c r="K200" s="89">
        <f t="shared" si="7"/>
        <v>1488.41</v>
      </c>
      <c r="L200" s="31"/>
      <c r="M200" s="26"/>
      <c r="N200" s="23"/>
      <c r="O200" s="73"/>
      <c r="P200" s="73"/>
    </row>
    <row r="201" spans="1:16" s="74" customFormat="1" ht="24" customHeight="1">
      <c r="A201" s="260" t="s">
        <v>641</v>
      </c>
      <c r="B201" s="82" t="s">
        <v>289</v>
      </c>
      <c r="C201" s="97">
        <v>170524</v>
      </c>
      <c r="D201" s="360" t="s">
        <v>332</v>
      </c>
      <c r="E201" s="360"/>
      <c r="F201" s="360"/>
      <c r="G201" s="360"/>
      <c r="H201" s="56" t="s">
        <v>35</v>
      </c>
      <c r="I201" s="92">
        <v>6</v>
      </c>
      <c r="J201" s="88">
        <v>55.96</v>
      </c>
      <c r="K201" s="89">
        <f t="shared" si="7"/>
        <v>335.76</v>
      </c>
      <c r="L201" s="31"/>
      <c r="M201" s="26"/>
      <c r="N201" s="23"/>
      <c r="O201" s="73"/>
      <c r="P201" s="73"/>
    </row>
    <row r="202" spans="1:16" s="74" customFormat="1" ht="25.5" customHeight="1">
      <c r="A202" s="260" t="s">
        <v>642</v>
      </c>
      <c r="B202" s="82" t="s">
        <v>289</v>
      </c>
      <c r="C202" s="97">
        <v>170540</v>
      </c>
      <c r="D202" s="360" t="s">
        <v>166</v>
      </c>
      <c r="E202" s="360"/>
      <c r="F202" s="360"/>
      <c r="G202" s="360"/>
      <c r="H202" s="56" t="s">
        <v>35</v>
      </c>
      <c r="I202" s="92">
        <v>1</v>
      </c>
      <c r="J202" s="88">
        <v>686.75</v>
      </c>
      <c r="K202" s="89">
        <f t="shared" si="7"/>
        <v>686.75</v>
      </c>
      <c r="L202" s="31"/>
      <c r="M202" s="26"/>
      <c r="N202" s="23"/>
      <c r="O202" s="73"/>
      <c r="P202" s="73"/>
    </row>
    <row r="203" spans="1:13" s="26" customFormat="1" ht="12.75">
      <c r="A203" s="256" t="s">
        <v>280</v>
      </c>
      <c r="B203" s="84"/>
      <c r="C203" s="85"/>
      <c r="D203" s="365" t="s">
        <v>167</v>
      </c>
      <c r="E203" s="365"/>
      <c r="F203" s="365"/>
      <c r="G203" s="365"/>
      <c r="H203" s="79"/>
      <c r="I203" s="86"/>
      <c r="J203" s="87"/>
      <c r="K203" s="83">
        <f>SUM(K205:K210)</f>
        <v>12870.037900000001</v>
      </c>
      <c r="M203" s="3"/>
    </row>
    <row r="204" spans="1:13" s="26" customFormat="1" ht="11.25" customHeight="1">
      <c r="A204" s="262" t="s">
        <v>52</v>
      </c>
      <c r="B204" s="82"/>
      <c r="C204" s="56"/>
      <c r="D204" s="370" t="s">
        <v>168</v>
      </c>
      <c r="E204" s="371"/>
      <c r="F204" s="371"/>
      <c r="G204" s="372"/>
      <c r="H204" s="56"/>
      <c r="I204" s="88"/>
      <c r="J204" s="98"/>
      <c r="K204" s="99"/>
      <c r="M204" s="3"/>
    </row>
    <row r="205" spans="1:13" s="26" customFormat="1" ht="26.25" customHeight="1">
      <c r="A205" s="260" t="s">
        <v>248</v>
      </c>
      <c r="B205" s="82" t="s">
        <v>289</v>
      </c>
      <c r="C205" s="56">
        <v>190101</v>
      </c>
      <c r="D205" s="358" t="s">
        <v>169</v>
      </c>
      <c r="E205" s="358"/>
      <c r="F205" s="358"/>
      <c r="G205" s="358"/>
      <c r="H205" s="56" t="s">
        <v>59</v>
      </c>
      <c r="I205" s="88">
        <v>238.13</v>
      </c>
      <c r="J205" s="100">
        <v>12.57</v>
      </c>
      <c r="K205" s="101">
        <f aca="true" t="shared" si="8" ref="K205:K210">I205*J205</f>
        <v>2993.2941</v>
      </c>
      <c r="L205" s="117"/>
      <c r="M205" s="3"/>
    </row>
    <row r="206" spans="1:13" s="26" customFormat="1" ht="24" customHeight="1">
      <c r="A206" s="260" t="s">
        <v>249</v>
      </c>
      <c r="B206" s="82" t="s">
        <v>289</v>
      </c>
      <c r="C206" s="56">
        <v>190103</v>
      </c>
      <c r="D206" s="358" t="s">
        <v>170</v>
      </c>
      <c r="E206" s="358"/>
      <c r="F206" s="358"/>
      <c r="G206" s="358"/>
      <c r="H206" s="56" t="s">
        <v>59</v>
      </c>
      <c r="I206" s="88">
        <v>78.48</v>
      </c>
      <c r="J206" s="100">
        <v>15.94</v>
      </c>
      <c r="K206" s="101">
        <f t="shared" si="8"/>
        <v>1250.9712</v>
      </c>
      <c r="L206" s="117"/>
      <c r="M206" s="3"/>
    </row>
    <row r="207" spans="1:13" s="26" customFormat="1" ht="23.25" customHeight="1">
      <c r="A207" s="260" t="s">
        <v>250</v>
      </c>
      <c r="B207" s="82" t="s">
        <v>289</v>
      </c>
      <c r="C207" s="56">
        <v>190104</v>
      </c>
      <c r="D207" s="358" t="s">
        <v>171</v>
      </c>
      <c r="E207" s="358"/>
      <c r="F207" s="358"/>
      <c r="G207" s="358"/>
      <c r="H207" s="56" t="s">
        <v>59</v>
      </c>
      <c r="I207" s="88">
        <v>238.13</v>
      </c>
      <c r="J207" s="100">
        <v>20.12</v>
      </c>
      <c r="K207" s="101">
        <f t="shared" si="8"/>
        <v>4791.1756000000005</v>
      </c>
      <c r="L207" s="117"/>
      <c r="M207" s="3"/>
    </row>
    <row r="208" spans="1:13" s="26" customFormat="1" ht="23.25" customHeight="1">
      <c r="A208" s="260" t="s">
        <v>327</v>
      </c>
      <c r="B208" s="82" t="s">
        <v>289</v>
      </c>
      <c r="C208" s="56">
        <v>190106</v>
      </c>
      <c r="D208" s="358" t="s">
        <v>333</v>
      </c>
      <c r="E208" s="358"/>
      <c r="F208" s="358"/>
      <c r="G208" s="358"/>
      <c r="H208" s="56" t="s">
        <v>59</v>
      </c>
      <c r="I208" s="88">
        <v>78.48</v>
      </c>
      <c r="J208" s="98">
        <v>20.54</v>
      </c>
      <c r="K208" s="101">
        <f t="shared" si="8"/>
        <v>1611.9792</v>
      </c>
      <c r="L208" s="117"/>
      <c r="M208" s="3"/>
    </row>
    <row r="209" spans="1:13" s="26" customFormat="1" ht="11.25" customHeight="1">
      <c r="A209" s="262" t="s">
        <v>53</v>
      </c>
      <c r="B209" s="82"/>
      <c r="C209" s="56"/>
      <c r="D209" s="370" t="s">
        <v>182</v>
      </c>
      <c r="E209" s="371"/>
      <c r="F209" s="371"/>
      <c r="G209" s="372"/>
      <c r="H209" s="56"/>
      <c r="I209" s="88"/>
      <c r="J209" s="98"/>
      <c r="K209" s="101">
        <f t="shared" si="8"/>
        <v>0</v>
      </c>
      <c r="M209" s="3"/>
    </row>
    <row r="210" spans="1:13" s="26" customFormat="1" ht="24" customHeight="1">
      <c r="A210" s="260" t="s">
        <v>643</v>
      </c>
      <c r="B210" s="82" t="s">
        <v>289</v>
      </c>
      <c r="C210" s="56">
        <v>190604</v>
      </c>
      <c r="D210" s="358" t="s">
        <v>183</v>
      </c>
      <c r="E210" s="358"/>
      <c r="F210" s="358"/>
      <c r="G210" s="358"/>
      <c r="H210" s="56" t="s">
        <v>21</v>
      </c>
      <c r="I210" s="88">
        <v>52.26</v>
      </c>
      <c r="J210" s="100">
        <v>42.53</v>
      </c>
      <c r="K210" s="101">
        <f t="shared" si="8"/>
        <v>2222.6178</v>
      </c>
      <c r="L210" s="75"/>
      <c r="M210" s="3"/>
    </row>
    <row r="211" spans="1:13" s="26" customFormat="1" ht="11.25" customHeight="1">
      <c r="A211" s="256" t="s">
        <v>281</v>
      </c>
      <c r="B211" s="84"/>
      <c r="C211" s="85"/>
      <c r="D211" s="365" t="s">
        <v>222</v>
      </c>
      <c r="E211" s="365"/>
      <c r="F211" s="365"/>
      <c r="G211" s="365"/>
      <c r="H211" s="79"/>
      <c r="I211" s="86"/>
      <c r="J211" s="87"/>
      <c r="K211" s="83">
        <f>SUM(K213)</f>
        <v>533.46</v>
      </c>
      <c r="M211" s="3"/>
    </row>
    <row r="212" spans="1:13" s="26" customFormat="1" ht="11.25" customHeight="1">
      <c r="A212" s="262" t="s">
        <v>54</v>
      </c>
      <c r="B212" s="82"/>
      <c r="C212" s="56"/>
      <c r="D212" s="370" t="s">
        <v>223</v>
      </c>
      <c r="E212" s="371"/>
      <c r="F212" s="371"/>
      <c r="G212" s="372"/>
      <c r="H212" s="56"/>
      <c r="I212" s="88"/>
      <c r="J212" s="98"/>
      <c r="K212" s="101">
        <f>I212*J212</f>
        <v>0</v>
      </c>
      <c r="M212" s="3"/>
    </row>
    <row r="213" spans="1:13" s="26" customFormat="1" ht="26.25" customHeight="1">
      <c r="A213" s="260" t="s">
        <v>251</v>
      </c>
      <c r="B213" s="82" t="s">
        <v>289</v>
      </c>
      <c r="C213" s="56">
        <v>210316</v>
      </c>
      <c r="D213" s="358" t="s">
        <v>224</v>
      </c>
      <c r="E213" s="358"/>
      <c r="F213" s="358"/>
      <c r="G213" s="358"/>
      <c r="H213" s="56" t="s">
        <v>35</v>
      </c>
      <c r="I213" s="88">
        <v>1</v>
      </c>
      <c r="J213" s="100">
        <v>533.46</v>
      </c>
      <c r="K213" s="101">
        <f>I213*J213</f>
        <v>533.46</v>
      </c>
      <c r="L213" s="75"/>
      <c r="M213" s="3"/>
    </row>
    <row r="214" spans="1:13" s="26" customFormat="1" ht="11.25" customHeight="1">
      <c r="A214" s="256" t="s">
        <v>282</v>
      </c>
      <c r="B214" s="84"/>
      <c r="C214" s="85"/>
      <c r="D214" s="365" t="s">
        <v>373</v>
      </c>
      <c r="E214" s="365"/>
      <c r="F214" s="365"/>
      <c r="G214" s="365"/>
      <c r="H214" s="79"/>
      <c r="I214" s="86"/>
      <c r="J214" s="87"/>
      <c r="K214" s="83">
        <f>SUM(K215:K225)</f>
        <v>13008.931539</v>
      </c>
      <c r="M214" s="3"/>
    </row>
    <row r="215" spans="1:13" s="26" customFormat="1" ht="12.75">
      <c r="A215" s="260" t="s">
        <v>55</v>
      </c>
      <c r="B215" s="82" t="s">
        <v>289</v>
      </c>
      <c r="C215" s="55" t="s">
        <v>376</v>
      </c>
      <c r="D215" s="358" t="s">
        <v>374</v>
      </c>
      <c r="E215" s="358"/>
      <c r="F215" s="358"/>
      <c r="G215" s="358"/>
      <c r="H215" s="56" t="s">
        <v>63</v>
      </c>
      <c r="I215" s="88">
        <v>9.375</v>
      </c>
      <c r="J215" s="100">
        <v>41.86</v>
      </c>
      <c r="K215" s="101">
        <f aca="true" t="shared" si="9" ref="K215:K224">I215*J215</f>
        <v>392.4375</v>
      </c>
      <c r="L215" s="75"/>
      <c r="M215" s="3"/>
    </row>
    <row r="216" spans="1:13" s="26" customFormat="1" ht="12.75">
      <c r="A216" s="260" t="s">
        <v>644</v>
      </c>
      <c r="B216" s="82" t="s">
        <v>289</v>
      </c>
      <c r="C216" s="55" t="s">
        <v>377</v>
      </c>
      <c r="D216" s="358" t="s">
        <v>375</v>
      </c>
      <c r="E216" s="358"/>
      <c r="F216" s="358"/>
      <c r="G216" s="358"/>
      <c r="H216" s="56" t="s">
        <v>63</v>
      </c>
      <c r="I216" s="88">
        <v>7.115</v>
      </c>
      <c r="J216" s="100">
        <v>45.08</v>
      </c>
      <c r="K216" s="101">
        <f t="shared" si="9"/>
        <v>320.7442</v>
      </c>
      <c r="L216" s="75"/>
      <c r="M216" s="3"/>
    </row>
    <row r="217" spans="1:13" s="26" customFormat="1" ht="24" customHeight="1">
      <c r="A217" s="260" t="s">
        <v>645</v>
      </c>
      <c r="B217" s="82" t="s">
        <v>289</v>
      </c>
      <c r="C217" s="55" t="s">
        <v>378</v>
      </c>
      <c r="D217" s="358" t="s">
        <v>780</v>
      </c>
      <c r="E217" s="358"/>
      <c r="F217" s="358"/>
      <c r="G217" s="358"/>
      <c r="H217" s="56" t="s">
        <v>63</v>
      </c>
      <c r="I217" s="88">
        <v>0.31</v>
      </c>
      <c r="J217" s="100">
        <v>467.93</v>
      </c>
      <c r="K217" s="101">
        <f t="shared" si="9"/>
        <v>145.0583</v>
      </c>
      <c r="L217" s="75"/>
      <c r="M217" s="3"/>
    </row>
    <row r="218" spans="1:13" s="26" customFormat="1" ht="23.25" customHeight="1">
      <c r="A218" s="260" t="s">
        <v>646</v>
      </c>
      <c r="B218" s="82" t="s">
        <v>289</v>
      </c>
      <c r="C218" s="55" t="s">
        <v>304</v>
      </c>
      <c r="D218" s="358" t="s">
        <v>379</v>
      </c>
      <c r="E218" s="358"/>
      <c r="F218" s="358"/>
      <c r="G218" s="358"/>
      <c r="H218" s="56" t="s">
        <v>179</v>
      </c>
      <c r="I218" s="88">
        <v>396</v>
      </c>
      <c r="J218" s="100">
        <v>7.25</v>
      </c>
      <c r="K218" s="101">
        <f t="shared" si="9"/>
        <v>2871</v>
      </c>
      <c r="L218" s="75"/>
      <c r="M218" s="3"/>
    </row>
    <row r="219" spans="1:13" s="26" customFormat="1" ht="24" customHeight="1">
      <c r="A219" s="260" t="s">
        <v>647</v>
      </c>
      <c r="B219" s="82" t="s">
        <v>289</v>
      </c>
      <c r="C219" s="55" t="s">
        <v>381</v>
      </c>
      <c r="D219" s="358" t="s">
        <v>380</v>
      </c>
      <c r="E219" s="358"/>
      <c r="F219" s="358"/>
      <c r="G219" s="358"/>
      <c r="H219" s="56" t="s">
        <v>59</v>
      </c>
      <c r="I219" s="88">
        <v>30.22</v>
      </c>
      <c r="J219" s="100">
        <v>78.33</v>
      </c>
      <c r="K219" s="101">
        <f t="shared" si="9"/>
        <v>2367.1326</v>
      </c>
      <c r="L219" s="75"/>
      <c r="M219" s="3"/>
    </row>
    <row r="220" spans="1:13" s="26" customFormat="1" ht="24" customHeight="1">
      <c r="A220" s="260" t="s">
        <v>648</v>
      </c>
      <c r="B220" s="115" t="s">
        <v>289</v>
      </c>
      <c r="C220" s="318" t="s">
        <v>802</v>
      </c>
      <c r="D220" s="358" t="s">
        <v>801</v>
      </c>
      <c r="E220" s="358"/>
      <c r="F220" s="358"/>
      <c r="G220" s="358"/>
      <c r="H220" s="56" t="s">
        <v>63</v>
      </c>
      <c r="I220" s="88">
        <v>6.6</v>
      </c>
      <c r="J220" s="100">
        <v>588.58</v>
      </c>
      <c r="K220" s="101">
        <f t="shared" si="9"/>
        <v>3884.628</v>
      </c>
      <c r="L220" s="75"/>
      <c r="M220" s="3"/>
    </row>
    <row r="221" spans="1:13" s="26" customFormat="1" ht="12.75">
      <c r="A221" s="260" t="s">
        <v>649</v>
      </c>
      <c r="B221" s="82" t="s">
        <v>289</v>
      </c>
      <c r="C221" s="55" t="s">
        <v>384</v>
      </c>
      <c r="D221" s="358" t="s">
        <v>382</v>
      </c>
      <c r="E221" s="358"/>
      <c r="F221" s="358"/>
      <c r="G221" s="358"/>
      <c r="H221" s="56" t="s">
        <v>59</v>
      </c>
      <c r="I221" s="88">
        <v>23.42</v>
      </c>
      <c r="J221" s="100">
        <v>10.31</v>
      </c>
      <c r="K221" s="101">
        <f t="shared" si="9"/>
        <v>241.46020000000004</v>
      </c>
      <c r="L221" s="75"/>
      <c r="M221" s="3"/>
    </row>
    <row r="222" spans="1:13" s="26" customFormat="1" ht="24" customHeight="1">
      <c r="A222" s="260" t="s">
        <v>650</v>
      </c>
      <c r="B222" s="82" t="s">
        <v>289</v>
      </c>
      <c r="C222" s="55" t="s">
        <v>385</v>
      </c>
      <c r="D222" s="358" t="s">
        <v>383</v>
      </c>
      <c r="E222" s="358"/>
      <c r="F222" s="358"/>
      <c r="G222" s="358"/>
      <c r="H222" s="56" t="s">
        <v>59</v>
      </c>
      <c r="I222" s="88">
        <v>23.42</v>
      </c>
      <c r="J222" s="100">
        <v>43.98</v>
      </c>
      <c r="K222" s="101">
        <f t="shared" si="9"/>
        <v>1030.0116</v>
      </c>
      <c r="L222" s="75"/>
      <c r="M222" s="3"/>
    </row>
    <row r="223" spans="1:13" s="26" customFormat="1" ht="23.25" customHeight="1">
      <c r="A223" s="260" t="s">
        <v>651</v>
      </c>
      <c r="B223" s="82" t="s">
        <v>289</v>
      </c>
      <c r="C223" s="55" t="s">
        <v>387</v>
      </c>
      <c r="D223" s="358" t="s">
        <v>386</v>
      </c>
      <c r="E223" s="358"/>
      <c r="F223" s="358"/>
      <c r="G223" s="358"/>
      <c r="H223" s="56" t="s">
        <v>59</v>
      </c>
      <c r="I223" s="88">
        <v>23.42</v>
      </c>
      <c r="J223" s="100">
        <v>24.77</v>
      </c>
      <c r="K223" s="101">
        <f t="shared" si="9"/>
        <v>580.1134000000001</v>
      </c>
      <c r="L223" s="75"/>
      <c r="M223" s="3"/>
    </row>
    <row r="224" spans="1:13" s="26" customFormat="1" ht="12.75">
      <c r="A224" s="260" t="s">
        <v>652</v>
      </c>
      <c r="B224" s="82" t="s">
        <v>289</v>
      </c>
      <c r="C224" s="55" t="s">
        <v>391</v>
      </c>
      <c r="D224" s="358" t="s">
        <v>392</v>
      </c>
      <c r="E224" s="358"/>
      <c r="F224" s="358"/>
      <c r="G224" s="358"/>
      <c r="H224" s="56" t="s">
        <v>21</v>
      </c>
      <c r="I224" s="88">
        <v>9.6</v>
      </c>
      <c r="J224" s="100">
        <v>4.28</v>
      </c>
      <c r="K224" s="101">
        <f t="shared" si="9"/>
        <v>41.088</v>
      </c>
      <c r="L224" s="75"/>
      <c r="M224" s="3"/>
    </row>
    <row r="225" spans="1:13" s="26" customFormat="1" ht="24.75" customHeight="1">
      <c r="A225" s="260" t="s">
        <v>653</v>
      </c>
      <c r="B225" s="115" t="s">
        <v>542</v>
      </c>
      <c r="C225" s="318"/>
      <c r="D225" s="358" t="s">
        <v>509</v>
      </c>
      <c r="E225" s="358"/>
      <c r="F225" s="358"/>
      <c r="G225" s="358"/>
      <c r="H225" s="56" t="s">
        <v>35</v>
      </c>
      <c r="I225" s="88">
        <v>1</v>
      </c>
      <c r="J225" s="323">
        <f>'COMP 04'!C38</f>
        <v>1135.2577390000001</v>
      </c>
      <c r="K225" s="101">
        <f>I225*J225</f>
        <v>1135.2577390000001</v>
      </c>
      <c r="L225" s="75"/>
      <c r="M225" s="3"/>
    </row>
    <row r="226" spans="1:13" s="26" customFormat="1" ht="11.25" customHeight="1">
      <c r="A226" s="256" t="s">
        <v>515</v>
      </c>
      <c r="B226" s="84"/>
      <c r="C226" s="85"/>
      <c r="D226" s="365" t="s">
        <v>411</v>
      </c>
      <c r="E226" s="365"/>
      <c r="F226" s="365"/>
      <c r="G226" s="365"/>
      <c r="H226" s="79"/>
      <c r="I226" s="86"/>
      <c r="J226" s="87"/>
      <c r="K226" s="83">
        <f>SUM(K227:K236)</f>
        <v>12856.9846</v>
      </c>
      <c r="M226" s="3"/>
    </row>
    <row r="227" spans="1:13" s="26" customFormat="1" ht="12.75">
      <c r="A227" s="260" t="s">
        <v>334</v>
      </c>
      <c r="B227" s="82" t="s">
        <v>289</v>
      </c>
      <c r="C227" s="55" t="s">
        <v>376</v>
      </c>
      <c r="D227" s="358" t="s">
        <v>374</v>
      </c>
      <c r="E227" s="358"/>
      <c r="F227" s="358"/>
      <c r="G227" s="358"/>
      <c r="H227" s="56" t="s">
        <v>63</v>
      </c>
      <c r="I227" s="88">
        <v>9.91</v>
      </c>
      <c r="J227" s="100">
        <v>41.86</v>
      </c>
      <c r="K227" s="101">
        <f aca="true" t="shared" si="10" ref="K227:K236">I227*J227</f>
        <v>414.8326</v>
      </c>
      <c r="L227" s="75"/>
      <c r="M227" s="3"/>
    </row>
    <row r="228" spans="1:13" s="26" customFormat="1" ht="12.75">
      <c r="A228" s="260" t="s">
        <v>532</v>
      </c>
      <c r="B228" s="82" t="s">
        <v>289</v>
      </c>
      <c r="C228" s="55" t="s">
        <v>377</v>
      </c>
      <c r="D228" s="358" t="s">
        <v>375</v>
      </c>
      <c r="E228" s="358"/>
      <c r="F228" s="358"/>
      <c r="G228" s="358"/>
      <c r="H228" s="56" t="s">
        <v>63</v>
      </c>
      <c r="I228" s="88">
        <v>5.95</v>
      </c>
      <c r="J228" s="100">
        <v>45.08</v>
      </c>
      <c r="K228" s="101">
        <f t="shared" si="10"/>
        <v>268.226</v>
      </c>
      <c r="L228" s="75"/>
      <c r="M228" s="3"/>
    </row>
    <row r="229" spans="1:13" s="26" customFormat="1" ht="24" customHeight="1">
      <c r="A229" s="260" t="s">
        <v>533</v>
      </c>
      <c r="B229" s="82" t="s">
        <v>289</v>
      </c>
      <c r="C229" s="55" t="s">
        <v>378</v>
      </c>
      <c r="D229" s="358" t="s">
        <v>780</v>
      </c>
      <c r="E229" s="358"/>
      <c r="F229" s="358"/>
      <c r="G229" s="358"/>
      <c r="H229" s="56" t="s">
        <v>63</v>
      </c>
      <c r="I229" s="88">
        <v>0.5</v>
      </c>
      <c r="J229" s="100">
        <v>467.93</v>
      </c>
      <c r="K229" s="101">
        <f t="shared" si="10"/>
        <v>233.965</v>
      </c>
      <c r="L229" s="75"/>
      <c r="M229" s="3"/>
    </row>
    <row r="230" spans="1:13" s="26" customFormat="1" ht="23.25" customHeight="1">
      <c r="A230" s="260" t="s">
        <v>534</v>
      </c>
      <c r="B230" s="82" t="s">
        <v>289</v>
      </c>
      <c r="C230" s="55" t="s">
        <v>304</v>
      </c>
      <c r="D230" s="358" t="s">
        <v>379</v>
      </c>
      <c r="E230" s="358"/>
      <c r="F230" s="358"/>
      <c r="G230" s="358"/>
      <c r="H230" s="56" t="s">
        <v>179</v>
      </c>
      <c r="I230" s="88">
        <v>238</v>
      </c>
      <c r="J230" s="100">
        <v>7.25</v>
      </c>
      <c r="K230" s="101">
        <f t="shared" si="10"/>
        <v>1725.5</v>
      </c>
      <c r="L230" s="75"/>
      <c r="M230" s="3"/>
    </row>
    <row r="231" spans="1:13" s="26" customFormat="1" ht="24" customHeight="1">
      <c r="A231" s="260" t="s">
        <v>535</v>
      </c>
      <c r="B231" s="82" t="s">
        <v>289</v>
      </c>
      <c r="C231" s="55" t="s">
        <v>381</v>
      </c>
      <c r="D231" s="358" t="s">
        <v>380</v>
      </c>
      <c r="E231" s="358"/>
      <c r="F231" s="358"/>
      <c r="G231" s="358"/>
      <c r="H231" s="56" t="s">
        <v>59</v>
      </c>
      <c r="I231" s="88">
        <v>20.62</v>
      </c>
      <c r="J231" s="100">
        <v>78.33</v>
      </c>
      <c r="K231" s="101">
        <f t="shared" si="10"/>
        <v>1615.1646</v>
      </c>
      <c r="L231" s="75"/>
      <c r="M231" s="3"/>
    </row>
    <row r="232" spans="1:13" s="26" customFormat="1" ht="24" customHeight="1">
      <c r="A232" s="260" t="s">
        <v>536</v>
      </c>
      <c r="B232" s="115" t="s">
        <v>289</v>
      </c>
      <c r="C232" s="318" t="s">
        <v>802</v>
      </c>
      <c r="D232" s="358" t="s">
        <v>801</v>
      </c>
      <c r="E232" s="358"/>
      <c r="F232" s="358"/>
      <c r="G232" s="358"/>
      <c r="H232" s="56" t="s">
        <v>63</v>
      </c>
      <c r="I232" s="88">
        <v>3.96</v>
      </c>
      <c r="J232" s="100">
        <v>588.58</v>
      </c>
      <c r="K232" s="101">
        <f t="shared" si="10"/>
        <v>2330.7768</v>
      </c>
      <c r="L232" s="75"/>
      <c r="M232" s="3"/>
    </row>
    <row r="233" spans="1:13" s="26" customFormat="1" ht="38.25" customHeight="1">
      <c r="A233" s="260" t="s">
        <v>537</v>
      </c>
      <c r="B233" s="82" t="s">
        <v>289</v>
      </c>
      <c r="C233" s="55" t="s">
        <v>414</v>
      </c>
      <c r="D233" s="358" t="s">
        <v>413</v>
      </c>
      <c r="E233" s="358"/>
      <c r="F233" s="358"/>
      <c r="G233" s="358"/>
      <c r="H233" s="56" t="s">
        <v>59</v>
      </c>
      <c r="I233" s="88">
        <v>18.83</v>
      </c>
      <c r="J233" s="100">
        <v>174.18</v>
      </c>
      <c r="K233" s="101">
        <f>I233*J233</f>
        <v>3279.8093999999996</v>
      </c>
      <c r="L233" s="75"/>
      <c r="M233" s="3"/>
    </row>
    <row r="234" spans="1:13" s="26" customFormat="1" ht="12.75">
      <c r="A234" s="260" t="s">
        <v>538</v>
      </c>
      <c r="B234" s="82" t="s">
        <v>289</v>
      </c>
      <c r="C234" s="55" t="s">
        <v>384</v>
      </c>
      <c r="D234" s="358" t="s">
        <v>382</v>
      </c>
      <c r="E234" s="358"/>
      <c r="F234" s="358"/>
      <c r="G234" s="358"/>
      <c r="H234" s="56" t="s">
        <v>59</v>
      </c>
      <c r="I234" s="88">
        <v>39.94</v>
      </c>
      <c r="J234" s="100">
        <v>10.31</v>
      </c>
      <c r="K234" s="101">
        <f t="shared" si="10"/>
        <v>411.7814</v>
      </c>
      <c r="L234" s="75"/>
      <c r="M234" s="3"/>
    </row>
    <row r="235" spans="1:13" s="26" customFormat="1" ht="24" customHeight="1">
      <c r="A235" s="260" t="s">
        <v>539</v>
      </c>
      <c r="B235" s="82" t="s">
        <v>289</v>
      </c>
      <c r="C235" s="55" t="s">
        <v>385</v>
      </c>
      <c r="D235" s="358" t="s">
        <v>383</v>
      </c>
      <c r="E235" s="358"/>
      <c r="F235" s="358"/>
      <c r="G235" s="358"/>
      <c r="H235" s="56" t="s">
        <v>59</v>
      </c>
      <c r="I235" s="88">
        <v>39.94</v>
      </c>
      <c r="J235" s="100">
        <v>43.98</v>
      </c>
      <c r="K235" s="101">
        <f t="shared" si="10"/>
        <v>1756.5611999999999</v>
      </c>
      <c r="L235" s="75"/>
      <c r="M235" s="3"/>
    </row>
    <row r="236" spans="1:13" s="26" customFormat="1" ht="23.25" customHeight="1">
      <c r="A236" s="260" t="s">
        <v>540</v>
      </c>
      <c r="B236" s="82" t="s">
        <v>289</v>
      </c>
      <c r="C236" s="55" t="s">
        <v>415</v>
      </c>
      <c r="D236" s="358" t="s">
        <v>333</v>
      </c>
      <c r="E236" s="358"/>
      <c r="F236" s="358"/>
      <c r="G236" s="358"/>
      <c r="H236" s="56" t="s">
        <v>59</v>
      </c>
      <c r="I236" s="88">
        <v>39.94</v>
      </c>
      <c r="J236" s="100">
        <v>20.54</v>
      </c>
      <c r="K236" s="101">
        <f t="shared" si="10"/>
        <v>820.3675999999999</v>
      </c>
      <c r="L236" s="75"/>
      <c r="M236" s="3"/>
    </row>
    <row r="237" spans="1:13" s="26" customFormat="1" ht="11.25" customHeight="1">
      <c r="A237" s="256" t="s">
        <v>372</v>
      </c>
      <c r="B237" s="84"/>
      <c r="C237" s="85"/>
      <c r="D237" s="365" t="s">
        <v>172</v>
      </c>
      <c r="E237" s="365"/>
      <c r="F237" s="365"/>
      <c r="G237" s="365"/>
      <c r="H237" s="79"/>
      <c r="I237" s="86"/>
      <c r="J237" s="87"/>
      <c r="K237" s="83">
        <f>SUM(K239:K254)</f>
        <v>70270.116357</v>
      </c>
      <c r="M237" s="3"/>
    </row>
    <row r="238" spans="1:13" s="26" customFormat="1" ht="11.25" customHeight="1">
      <c r="A238" s="262" t="s">
        <v>404</v>
      </c>
      <c r="B238" s="82"/>
      <c r="C238" s="56"/>
      <c r="D238" s="370" t="s">
        <v>363</v>
      </c>
      <c r="E238" s="371"/>
      <c r="F238" s="371"/>
      <c r="G238" s="372"/>
      <c r="H238" s="56"/>
      <c r="I238" s="88"/>
      <c r="J238" s="98"/>
      <c r="K238" s="101">
        <f aca="true" t="shared" si="11" ref="K238:K254">I238*J238</f>
        <v>0</v>
      </c>
      <c r="M238" s="3"/>
    </row>
    <row r="239" spans="1:13" s="26" customFormat="1" ht="12.75">
      <c r="A239" s="260" t="s">
        <v>654</v>
      </c>
      <c r="B239" s="115" t="s">
        <v>544</v>
      </c>
      <c r="C239" s="318"/>
      <c r="D239" s="369" t="s">
        <v>552</v>
      </c>
      <c r="E239" s="369"/>
      <c r="F239" s="369"/>
      <c r="G239" s="369"/>
      <c r="H239" s="56" t="s">
        <v>59</v>
      </c>
      <c r="I239" s="88">
        <v>6.4</v>
      </c>
      <c r="J239" s="100">
        <f>'COMP 05'!C38</f>
        <v>797.708690625</v>
      </c>
      <c r="K239" s="101">
        <f t="shared" si="11"/>
        <v>5105.335620000001</v>
      </c>
      <c r="L239" s="75"/>
      <c r="M239" s="3"/>
    </row>
    <row r="240" spans="1:13" s="26" customFormat="1" ht="24.75" customHeight="1">
      <c r="A240" s="260" t="s">
        <v>655</v>
      </c>
      <c r="B240" s="82" t="s">
        <v>289</v>
      </c>
      <c r="C240" s="55" t="s">
        <v>417</v>
      </c>
      <c r="D240" s="369" t="s">
        <v>416</v>
      </c>
      <c r="E240" s="369"/>
      <c r="F240" s="369"/>
      <c r="G240" s="369"/>
      <c r="H240" s="56" t="s">
        <v>59</v>
      </c>
      <c r="I240" s="88">
        <v>12.8</v>
      </c>
      <c r="J240" s="100">
        <v>17.3</v>
      </c>
      <c r="K240" s="101">
        <f t="shared" si="11"/>
        <v>221.44000000000003</v>
      </c>
      <c r="L240" s="75"/>
      <c r="M240" s="3"/>
    </row>
    <row r="241" spans="1:13" s="26" customFormat="1" ht="11.25" customHeight="1">
      <c r="A241" s="262" t="s">
        <v>405</v>
      </c>
      <c r="B241" s="82"/>
      <c r="C241" s="56"/>
      <c r="D241" s="370" t="s">
        <v>173</v>
      </c>
      <c r="E241" s="371"/>
      <c r="F241" s="371"/>
      <c r="G241" s="372"/>
      <c r="H241" s="56"/>
      <c r="I241" s="88"/>
      <c r="J241" s="98"/>
      <c r="K241" s="101">
        <f t="shared" si="11"/>
        <v>0</v>
      </c>
      <c r="M241" s="3"/>
    </row>
    <row r="242" spans="1:13" s="26" customFormat="1" ht="39.75" customHeight="1">
      <c r="A242" s="260" t="s">
        <v>656</v>
      </c>
      <c r="B242" s="82" t="s">
        <v>289</v>
      </c>
      <c r="C242" s="56">
        <v>200124</v>
      </c>
      <c r="D242" s="369" t="s">
        <v>174</v>
      </c>
      <c r="E242" s="369"/>
      <c r="F242" s="369"/>
      <c r="G242" s="369"/>
      <c r="H242" s="56" t="s">
        <v>21</v>
      </c>
      <c r="I242" s="88">
        <v>41.97</v>
      </c>
      <c r="J242" s="100">
        <v>709.7</v>
      </c>
      <c r="K242" s="101">
        <f t="shared" si="11"/>
        <v>29786.109</v>
      </c>
      <c r="L242" s="75"/>
      <c r="M242" s="3"/>
    </row>
    <row r="243" spans="1:13" s="26" customFormat="1" ht="11.25" customHeight="1">
      <c r="A243" s="262" t="s">
        <v>406</v>
      </c>
      <c r="B243" s="82"/>
      <c r="C243" s="56"/>
      <c r="D243" s="370" t="s">
        <v>175</v>
      </c>
      <c r="E243" s="371"/>
      <c r="F243" s="371"/>
      <c r="G243" s="372"/>
      <c r="H243" s="56"/>
      <c r="I243" s="88"/>
      <c r="J243" s="98"/>
      <c r="K243" s="101">
        <f t="shared" si="11"/>
        <v>0</v>
      </c>
      <c r="M243" s="3"/>
    </row>
    <row r="244" spans="1:13" s="26" customFormat="1" ht="24" customHeight="1">
      <c r="A244" s="260" t="s">
        <v>657</v>
      </c>
      <c r="B244" s="82" t="s">
        <v>289</v>
      </c>
      <c r="C244" s="56">
        <v>200202</v>
      </c>
      <c r="D244" s="358" t="s">
        <v>176</v>
      </c>
      <c r="E244" s="358"/>
      <c r="F244" s="358"/>
      <c r="G244" s="358"/>
      <c r="H244" s="56" t="s">
        <v>21</v>
      </c>
      <c r="I244" s="88">
        <v>59.86</v>
      </c>
      <c r="J244" s="100">
        <v>44.62</v>
      </c>
      <c r="K244" s="101">
        <f t="shared" si="11"/>
        <v>2670.9532</v>
      </c>
      <c r="L244" s="75"/>
      <c r="M244" s="3"/>
    </row>
    <row r="245" spans="1:13" s="26" customFormat="1" ht="64.5" customHeight="1">
      <c r="A245" s="260" t="s">
        <v>658</v>
      </c>
      <c r="B245" s="82" t="s">
        <v>361</v>
      </c>
      <c r="C245" s="325">
        <v>80200022</v>
      </c>
      <c r="D245" s="358" t="s">
        <v>803</v>
      </c>
      <c r="E245" s="358"/>
      <c r="F245" s="358"/>
      <c r="G245" s="358"/>
      <c r="H245" s="56" t="s">
        <v>59</v>
      </c>
      <c r="I245" s="88">
        <v>252.12</v>
      </c>
      <c r="J245" s="100">
        <f>70.27*1.23</f>
        <v>86.43209999999999</v>
      </c>
      <c r="K245" s="101">
        <f t="shared" si="11"/>
        <v>21791.261051999998</v>
      </c>
      <c r="L245" s="75"/>
      <c r="M245" s="3"/>
    </row>
    <row r="246" spans="1:13" s="26" customFormat="1" ht="11.25" customHeight="1">
      <c r="A246" s="262" t="s">
        <v>412</v>
      </c>
      <c r="B246" s="82"/>
      <c r="C246" s="56"/>
      <c r="D246" s="370" t="s">
        <v>36</v>
      </c>
      <c r="E246" s="371"/>
      <c r="F246" s="371"/>
      <c r="G246" s="372"/>
      <c r="H246" s="56"/>
      <c r="I246" s="88"/>
      <c r="J246" s="98"/>
      <c r="K246" s="101">
        <f t="shared" si="11"/>
        <v>0</v>
      </c>
      <c r="M246" s="3"/>
    </row>
    <row r="247" spans="1:13" s="26" customFormat="1" ht="15" customHeight="1">
      <c r="A247" s="260" t="s">
        <v>546</v>
      </c>
      <c r="B247" s="82" t="s">
        <v>289</v>
      </c>
      <c r="C247" s="56">
        <v>200326</v>
      </c>
      <c r="D247" s="358" t="s">
        <v>177</v>
      </c>
      <c r="E247" s="358"/>
      <c r="F247" s="358"/>
      <c r="G247" s="358"/>
      <c r="H247" s="56" t="s">
        <v>59</v>
      </c>
      <c r="I247" s="88">
        <v>16.25</v>
      </c>
      <c r="J247" s="100">
        <v>16.27</v>
      </c>
      <c r="K247" s="101">
        <f t="shared" si="11"/>
        <v>264.3875</v>
      </c>
      <c r="L247" s="75"/>
      <c r="M247" s="3"/>
    </row>
    <row r="248" spans="1:13" s="26" customFormat="1" ht="15" customHeight="1">
      <c r="A248" s="260" t="s">
        <v>547</v>
      </c>
      <c r="B248" s="113" t="s">
        <v>315</v>
      </c>
      <c r="C248" s="62" t="s">
        <v>365</v>
      </c>
      <c r="D248" s="358" t="s">
        <v>364</v>
      </c>
      <c r="E248" s="358"/>
      <c r="F248" s="358"/>
      <c r="G248" s="358"/>
      <c r="H248" s="56" t="s">
        <v>35</v>
      </c>
      <c r="I248" s="88">
        <v>5</v>
      </c>
      <c r="J248" s="100">
        <f>77.63*1.309</f>
        <v>101.61766999999999</v>
      </c>
      <c r="K248" s="101">
        <f t="shared" si="11"/>
        <v>508.08834999999993</v>
      </c>
      <c r="L248" s="75"/>
      <c r="M248" s="3"/>
    </row>
    <row r="249" spans="1:13" s="26" customFormat="1" ht="11.25" customHeight="1">
      <c r="A249" s="262" t="s">
        <v>407</v>
      </c>
      <c r="B249" s="82"/>
      <c r="C249" s="56"/>
      <c r="D249" s="370" t="s">
        <v>390</v>
      </c>
      <c r="E249" s="371"/>
      <c r="F249" s="371"/>
      <c r="G249" s="372"/>
      <c r="H249" s="56"/>
      <c r="I249" s="88"/>
      <c r="J249" s="98"/>
      <c r="K249" s="101">
        <f t="shared" si="11"/>
        <v>0</v>
      </c>
      <c r="M249" s="3"/>
    </row>
    <row r="250" spans="1:13" s="26" customFormat="1" ht="14.25" customHeight="1">
      <c r="A250" s="260" t="s">
        <v>659</v>
      </c>
      <c r="B250" s="82" t="s">
        <v>361</v>
      </c>
      <c r="C250" s="62" t="s">
        <v>389</v>
      </c>
      <c r="D250" s="358" t="s">
        <v>388</v>
      </c>
      <c r="E250" s="358"/>
      <c r="F250" s="358"/>
      <c r="G250" s="358"/>
      <c r="H250" s="56" t="s">
        <v>35</v>
      </c>
      <c r="I250" s="88">
        <v>15</v>
      </c>
      <c r="J250" s="100">
        <f>131.04*1.23</f>
        <v>161.17919999999998</v>
      </c>
      <c r="K250" s="101">
        <f t="shared" si="11"/>
        <v>2417.6879999999996</v>
      </c>
      <c r="L250" s="75"/>
      <c r="M250" s="3"/>
    </row>
    <row r="251" spans="1:13" s="26" customFormat="1" ht="42" customHeight="1">
      <c r="A251" s="260" t="s">
        <v>661</v>
      </c>
      <c r="B251" s="82" t="s">
        <v>361</v>
      </c>
      <c r="C251" s="62" t="s">
        <v>410</v>
      </c>
      <c r="D251" s="358" t="s">
        <v>409</v>
      </c>
      <c r="E251" s="358"/>
      <c r="F251" s="358"/>
      <c r="G251" s="358"/>
      <c r="H251" s="56" t="s">
        <v>21</v>
      </c>
      <c r="I251" s="88">
        <v>68.02</v>
      </c>
      <c r="J251" s="100">
        <f>24.7*1.23</f>
        <v>30.381</v>
      </c>
      <c r="K251" s="101">
        <f t="shared" si="11"/>
        <v>2066.5156199999997</v>
      </c>
      <c r="L251" s="75"/>
      <c r="M251" s="3"/>
    </row>
    <row r="252" spans="1:13" s="26" customFormat="1" ht="27.75" customHeight="1">
      <c r="A252" s="260" t="s">
        <v>662</v>
      </c>
      <c r="B252" s="115" t="s">
        <v>545</v>
      </c>
      <c r="C252" s="62"/>
      <c r="D252" s="364" t="s">
        <v>511</v>
      </c>
      <c r="E252" s="364"/>
      <c r="F252" s="364"/>
      <c r="G252" s="364"/>
      <c r="H252" s="56" t="s">
        <v>35</v>
      </c>
      <c r="I252" s="88">
        <v>2</v>
      </c>
      <c r="J252" s="100">
        <f>'COMP 06'!C37</f>
        <v>396.5190075</v>
      </c>
      <c r="K252" s="101">
        <f t="shared" si="11"/>
        <v>793.038015</v>
      </c>
      <c r="L252" s="117"/>
      <c r="M252" s="3"/>
    </row>
    <row r="253" spans="1:13" s="26" customFormat="1" ht="11.25" customHeight="1">
      <c r="A253" s="262" t="s">
        <v>408</v>
      </c>
      <c r="B253" s="82"/>
      <c r="C253" s="56"/>
      <c r="D253" s="370" t="s">
        <v>220</v>
      </c>
      <c r="E253" s="371"/>
      <c r="F253" s="371"/>
      <c r="G253" s="372"/>
      <c r="H253" s="56"/>
      <c r="I253" s="88"/>
      <c r="J253" s="98"/>
      <c r="K253" s="101">
        <f t="shared" si="11"/>
        <v>0</v>
      </c>
      <c r="M253" s="3"/>
    </row>
    <row r="254" spans="1:13" s="26" customFormat="1" ht="12.75">
      <c r="A254" s="258" t="s">
        <v>660</v>
      </c>
      <c r="B254" s="82" t="s">
        <v>289</v>
      </c>
      <c r="C254" s="56">
        <v>200401</v>
      </c>
      <c r="D254" s="382" t="s">
        <v>221</v>
      </c>
      <c r="E254" s="367"/>
      <c r="F254" s="367"/>
      <c r="G254" s="368"/>
      <c r="H254" s="56" t="s">
        <v>59</v>
      </c>
      <c r="I254" s="88">
        <v>515</v>
      </c>
      <c r="J254" s="100">
        <v>9.02</v>
      </c>
      <c r="K254" s="101">
        <f t="shared" si="11"/>
        <v>4645.3</v>
      </c>
      <c r="L254" s="75"/>
      <c r="M254" s="3"/>
    </row>
    <row r="255" spans="1:12" s="76" customFormat="1" ht="23.25" customHeight="1" thickBot="1">
      <c r="A255" s="263"/>
      <c r="B255" s="78"/>
      <c r="C255" s="78"/>
      <c r="D255" s="380" t="s">
        <v>17</v>
      </c>
      <c r="E255" s="380"/>
      <c r="F255" s="380"/>
      <c r="G255" s="380"/>
      <c r="H255" s="78"/>
      <c r="I255" s="102"/>
      <c r="J255" s="103"/>
      <c r="K255" s="264">
        <f>K8+K17+K28+K31+K35+K42+K52+K57+K61+K64+K67+K76+K88+K116+K156+K163+K183+K203+K237+K211+K214+K226</f>
        <v>366406.0753451001</v>
      </c>
      <c r="L255" s="77"/>
    </row>
    <row r="256" spans="1:12" s="76" customFormat="1" ht="12.75">
      <c r="A256" s="104"/>
      <c r="B256" s="65"/>
      <c r="C256" s="65"/>
      <c r="D256" s="105"/>
      <c r="E256" s="104"/>
      <c r="F256" s="104"/>
      <c r="G256" s="104"/>
      <c r="H256" s="65"/>
      <c r="I256" s="106"/>
      <c r="J256" s="107"/>
      <c r="K256" s="108"/>
      <c r="L256" s="77"/>
    </row>
    <row r="257" spans="1:12" s="76" customFormat="1" ht="12.75">
      <c r="A257" s="104"/>
      <c r="B257" s="65"/>
      <c r="C257" s="65"/>
      <c r="D257" s="42"/>
      <c r="E257" s="104"/>
      <c r="F257" s="104"/>
      <c r="G257" s="104"/>
      <c r="H257" s="65"/>
      <c r="I257" s="106"/>
      <c r="J257" s="107"/>
      <c r="K257" s="108"/>
      <c r="L257" s="77"/>
    </row>
    <row r="258" spans="1:12" s="76" customFormat="1" ht="12.75">
      <c r="A258" s="104"/>
      <c r="B258" s="65"/>
      <c r="C258" s="65"/>
      <c r="D258" s="105"/>
      <c r="E258" s="104"/>
      <c r="F258" s="104"/>
      <c r="G258" s="104"/>
      <c r="H258" s="65"/>
      <c r="I258" s="106"/>
      <c r="J258" s="107"/>
      <c r="K258" s="108"/>
      <c r="L258" s="77"/>
    </row>
    <row r="259" spans="1:12" s="76" customFormat="1" ht="12.75">
      <c r="A259" s="104"/>
      <c r="B259" s="65"/>
      <c r="C259" s="65"/>
      <c r="D259" s="105" t="s">
        <v>781</v>
      </c>
      <c r="E259" s="104"/>
      <c r="F259" s="104"/>
      <c r="G259" s="104"/>
      <c r="H259" s="65"/>
      <c r="I259" s="106"/>
      <c r="J259" s="107"/>
      <c r="K259" s="108"/>
      <c r="L259" s="77"/>
    </row>
    <row r="260" spans="1:12" s="76" customFormat="1" ht="12.75">
      <c r="A260" s="104"/>
      <c r="B260" s="65"/>
      <c r="C260" s="65"/>
      <c r="D260" s="105"/>
      <c r="E260" s="104"/>
      <c r="F260" s="104"/>
      <c r="G260" s="104"/>
      <c r="H260" s="65"/>
      <c r="I260" s="106"/>
      <c r="J260" s="107"/>
      <c r="K260" s="108"/>
      <c r="L260" s="77"/>
    </row>
    <row r="261" spans="1:12" s="76" customFormat="1" ht="12.75">
      <c r="A261" s="104"/>
      <c r="B261" s="65"/>
      <c r="C261" s="65"/>
      <c r="D261" s="361"/>
      <c r="E261" s="362"/>
      <c r="F261" s="362"/>
      <c r="G261" s="362"/>
      <c r="H261" s="65"/>
      <c r="I261" s="116"/>
      <c r="J261" s="107"/>
      <c r="K261" s="114"/>
      <c r="L261" s="77"/>
    </row>
    <row r="262" spans="1:12" s="76" customFormat="1" ht="12.75">
      <c r="A262" s="104"/>
      <c r="B262" s="65"/>
      <c r="C262" s="65"/>
      <c r="D262" s="105"/>
      <c r="E262" s="104"/>
      <c r="F262" s="104"/>
      <c r="G262" s="104"/>
      <c r="H262" s="65"/>
      <c r="I262" s="106"/>
      <c r="J262" s="107"/>
      <c r="K262" s="108"/>
      <c r="L262" s="77"/>
    </row>
    <row r="263" spans="1:12" s="76" customFormat="1" ht="12.75">
      <c r="A263" s="104"/>
      <c r="B263" s="65"/>
      <c r="C263" s="65"/>
      <c r="D263" s="105"/>
      <c r="E263" s="104"/>
      <c r="F263" s="104"/>
      <c r="G263" s="104"/>
      <c r="H263" s="65"/>
      <c r="I263" s="106"/>
      <c r="J263" s="107"/>
      <c r="K263" s="108"/>
      <c r="L263" s="77"/>
    </row>
    <row r="264" spans="1:12" s="76" customFormat="1" ht="12.75">
      <c r="A264" s="104"/>
      <c r="B264" s="65"/>
      <c r="C264" s="65"/>
      <c r="D264" s="363"/>
      <c r="E264" s="363"/>
      <c r="F264" s="363"/>
      <c r="G264" s="363"/>
      <c r="H264" s="65"/>
      <c r="I264" s="116"/>
      <c r="J264" s="107"/>
      <c r="K264" s="114"/>
      <c r="L264" s="77"/>
    </row>
    <row r="265" spans="1:12" s="76" customFormat="1" ht="12.75">
      <c r="A265" s="104"/>
      <c r="B265" s="65"/>
      <c r="C265" s="65"/>
      <c r="D265" s="105"/>
      <c r="E265" s="104"/>
      <c r="F265" s="104"/>
      <c r="G265" s="104"/>
      <c r="H265" s="65"/>
      <c r="I265" s="106"/>
      <c r="J265" s="107"/>
      <c r="K265" s="108"/>
      <c r="L265" s="77"/>
    </row>
    <row r="266" spans="1:12" s="76" customFormat="1" ht="12.75">
      <c r="A266" s="104"/>
      <c r="B266" s="65"/>
      <c r="C266" s="65"/>
      <c r="D266" s="105"/>
      <c r="E266" s="104"/>
      <c r="F266" s="104"/>
      <c r="G266" s="104"/>
      <c r="H266" s="65"/>
      <c r="I266" s="106"/>
      <c r="J266" s="107"/>
      <c r="K266" s="108"/>
      <c r="L266" s="77"/>
    </row>
    <row r="267" spans="1:12" s="76" customFormat="1" ht="12.75">
      <c r="A267" s="104"/>
      <c r="B267" s="65"/>
      <c r="C267" s="65"/>
      <c r="D267" s="105"/>
      <c r="E267" s="104"/>
      <c r="F267" s="104"/>
      <c r="G267" s="104"/>
      <c r="H267" s="65"/>
      <c r="I267" s="106"/>
      <c r="J267" s="107"/>
      <c r="K267" s="108"/>
      <c r="L267" s="77"/>
    </row>
    <row r="268" spans="1:12" s="76" customFormat="1" ht="12.75">
      <c r="A268" s="104"/>
      <c r="B268" s="65"/>
      <c r="C268" s="65"/>
      <c r="D268" s="105"/>
      <c r="E268" s="104"/>
      <c r="F268" s="104"/>
      <c r="G268" s="104"/>
      <c r="H268" s="65"/>
      <c r="I268" s="106"/>
      <c r="J268" s="107"/>
      <c r="K268" s="108"/>
      <c r="L268" s="77"/>
    </row>
    <row r="269" spans="1:12" s="76" customFormat="1" ht="12.75">
      <c r="A269" s="104"/>
      <c r="B269" s="65"/>
      <c r="C269" s="65"/>
      <c r="D269" s="105"/>
      <c r="E269" s="104"/>
      <c r="F269" s="104"/>
      <c r="G269" s="104"/>
      <c r="H269" s="65"/>
      <c r="I269" s="106"/>
      <c r="J269" s="107"/>
      <c r="K269" s="108"/>
      <c r="L269" s="77"/>
    </row>
    <row r="270" spans="1:12" s="76" customFormat="1" ht="12.75">
      <c r="A270" s="104"/>
      <c r="B270" s="65"/>
      <c r="C270" s="65"/>
      <c r="D270" s="105"/>
      <c r="E270" s="104"/>
      <c r="F270" s="104"/>
      <c r="G270" s="104"/>
      <c r="H270" s="65"/>
      <c r="I270" s="106"/>
      <c r="J270" s="107"/>
      <c r="K270" s="108"/>
      <c r="L270" s="77"/>
    </row>
    <row r="271" spans="1:12" s="76" customFormat="1" ht="12.75">
      <c r="A271" s="104"/>
      <c r="B271" s="65"/>
      <c r="C271" s="65"/>
      <c r="D271" s="105"/>
      <c r="E271" s="104"/>
      <c r="F271" s="104"/>
      <c r="G271" s="104"/>
      <c r="H271" s="65"/>
      <c r="I271" s="106"/>
      <c r="J271" s="107"/>
      <c r="K271" s="108"/>
      <c r="L271" s="77"/>
    </row>
    <row r="272" spans="1:12" s="76" customFormat="1" ht="12.75">
      <c r="A272" s="104"/>
      <c r="B272" s="65"/>
      <c r="C272" s="65"/>
      <c r="D272" s="105"/>
      <c r="E272" s="104"/>
      <c r="F272" s="104"/>
      <c r="G272" s="104"/>
      <c r="H272" s="65"/>
      <c r="I272" s="106"/>
      <c r="J272" s="107"/>
      <c r="K272" s="108"/>
      <c r="L272" s="77"/>
    </row>
    <row r="273" spans="1:12" s="76" customFormat="1" ht="12.75">
      <c r="A273" s="104"/>
      <c r="B273" s="65"/>
      <c r="C273" s="65"/>
      <c r="D273" s="105"/>
      <c r="E273" s="104"/>
      <c r="F273" s="104"/>
      <c r="G273" s="104"/>
      <c r="H273" s="65"/>
      <c r="I273" s="106"/>
      <c r="J273" s="107"/>
      <c r="K273" s="108"/>
      <c r="L273" s="77"/>
    </row>
    <row r="274" spans="1:12" s="76" customFormat="1" ht="12.75">
      <c r="A274" s="104"/>
      <c r="B274" s="65"/>
      <c r="C274" s="65"/>
      <c r="D274" s="105"/>
      <c r="E274" s="104"/>
      <c r="F274" s="104"/>
      <c r="G274" s="104"/>
      <c r="H274" s="65"/>
      <c r="I274" s="106"/>
      <c r="J274" s="107"/>
      <c r="K274" s="108"/>
      <c r="L274" s="77"/>
    </row>
    <row r="275" spans="1:12" s="76" customFormat="1" ht="12.75">
      <c r="A275" s="104"/>
      <c r="B275" s="65"/>
      <c r="C275" s="65"/>
      <c r="D275" s="105"/>
      <c r="E275" s="104"/>
      <c r="F275" s="104"/>
      <c r="G275" s="104"/>
      <c r="H275" s="65"/>
      <c r="I275" s="106"/>
      <c r="J275" s="107"/>
      <c r="K275" s="108"/>
      <c r="L275" s="77"/>
    </row>
    <row r="276" spans="1:12" s="76" customFormat="1" ht="12.75">
      <c r="A276" s="104"/>
      <c r="B276" s="65"/>
      <c r="C276" s="65"/>
      <c r="D276" s="105"/>
      <c r="E276" s="104"/>
      <c r="F276" s="104"/>
      <c r="G276" s="104"/>
      <c r="H276" s="65"/>
      <c r="I276" s="106"/>
      <c r="J276" s="107"/>
      <c r="K276" s="108"/>
      <c r="L276" s="77"/>
    </row>
    <row r="277" spans="1:12" s="76" customFormat="1" ht="12.75">
      <c r="A277" s="104"/>
      <c r="B277" s="65"/>
      <c r="C277" s="65"/>
      <c r="D277" s="105"/>
      <c r="E277" s="104"/>
      <c r="F277" s="104"/>
      <c r="G277" s="104"/>
      <c r="H277" s="65"/>
      <c r="I277" s="106"/>
      <c r="J277" s="107"/>
      <c r="K277" s="108"/>
      <c r="L277" s="77"/>
    </row>
    <row r="278" spans="1:12" s="76" customFormat="1" ht="12.75">
      <c r="A278" s="104"/>
      <c r="B278" s="65"/>
      <c r="C278" s="65"/>
      <c r="D278" s="105"/>
      <c r="E278" s="104"/>
      <c r="F278" s="104"/>
      <c r="G278" s="104"/>
      <c r="H278" s="65"/>
      <c r="I278" s="106"/>
      <c r="J278" s="107"/>
      <c r="K278" s="108"/>
      <c r="L278" s="77"/>
    </row>
    <row r="279" spans="1:12" s="76" customFormat="1" ht="12.75">
      <c r="A279" s="104"/>
      <c r="B279" s="65"/>
      <c r="C279" s="65"/>
      <c r="D279" s="105"/>
      <c r="E279" s="104"/>
      <c r="F279" s="104"/>
      <c r="G279" s="104"/>
      <c r="H279" s="65"/>
      <c r="I279" s="106"/>
      <c r="J279" s="107"/>
      <c r="K279" s="108"/>
      <c r="L279" s="77"/>
    </row>
    <row r="280" spans="1:12" s="76" customFormat="1" ht="12.75">
      <c r="A280" s="104"/>
      <c r="B280" s="65"/>
      <c r="C280" s="65"/>
      <c r="D280" s="105"/>
      <c r="E280" s="104"/>
      <c r="F280" s="104"/>
      <c r="G280" s="104"/>
      <c r="H280" s="65"/>
      <c r="I280" s="106"/>
      <c r="J280" s="107"/>
      <c r="K280" s="108"/>
      <c r="L280" s="77"/>
    </row>
    <row r="281" spans="1:12" s="76" customFormat="1" ht="12.75">
      <c r="A281" s="104"/>
      <c r="B281" s="65"/>
      <c r="C281" s="65"/>
      <c r="D281" s="105"/>
      <c r="E281" s="104"/>
      <c r="F281" s="104"/>
      <c r="G281" s="104"/>
      <c r="H281" s="65"/>
      <c r="I281" s="106"/>
      <c r="J281" s="107"/>
      <c r="K281" s="108"/>
      <c r="L281" s="77"/>
    </row>
    <row r="282" spans="1:12" s="76" customFormat="1" ht="12.75">
      <c r="A282" s="104"/>
      <c r="B282" s="65"/>
      <c r="C282" s="65"/>
      <c r="D282" s="105"/>
      <c r="E282" s="104"/>
      <c r="F282" s="104"/>
      <c r="G282" s="104"/>
      <c r="H282" s="65"/>
      <c r="I282" s="106"/>
      <c r="J282" s="107"/>
      <c r="K282" s="108"/>
      <c r="L282" s="77"/>
    </row>
    <row r="283" spans="1:12" s="76" customFormat="1" ht="12.75">
      <c r="A283" s="104"/>
      <c r="B283" s="65"/>
      <c r="C283" s="65"/>
      <c r="D283" s="105"/>
      <c r="E283" s="104"/>
      <c r="F283" s="104"/>
      <c r="G283" s="104"/>
      <c r="H283" s="65"/>
      <c r="I283" s="106"/>
      <c r="J283" s="107"/>
      <c r="K283" s="108"/>
      <c r="L283" s="77"/>
    </row>
    <row r="284" spans="1:12" s="76" customFormat="1" ht="12.75">
      <c r="A284" s="104"/>
      <c r="B284" s="65"/>
      <c r="C284" s="65"/>
      <c r="D284" s="105"/>
      <c r="E284" s="104"/>
      <c r="F284" s="104"/>
      <c r="G284" s="104"/>
      <c r="H284" s="65"/>
      <c r="I284" s="106"/>
      <c r="J284" s="107"/>
      <c r="K284" s="108"/>
      <c r="L284" s="77"/>
    </row>
    <row r="285" spans="1:12" s="76" customFormat="1" ht="12.75">
      <c r="A285" s="104"/>
      <c r="B285" s="65"/>
      <c r="C285" s="65"/>
      <c r="D285" s="105"/>
      <c r="E285" s="104"/>
      <c r="F285" s="104"/>
      <c r="G285" s="104"/>
      <c r="H285" s="65"/>
      <c r="I285" s="106"/>
      <c r="J285" s="107"/>
      <c r="K285" s="108"/>
      <c r="L285" s="77"/>
    </row>
    <row r="286" spans="1:12" s="76" customFormat="1" ht="12.75">
      <c r="A286" s="104"/>
      <c r="B286" s="65"/>
      <c r="C286" s="65"/>
      <c r="D286" s="105"/>
      <c r="E286" s="104"/>
      <c r="F286" s="104"/>
      <c r="G286" s="104"/>
      <c r="H286" s="65"/>
      <c r="I286" s="106"/>
      <c r="J286" s="107"/>
      <c r="K286" s="108"/>
      <c r="L286" s="77"/>
    </row>
    <row r="287" spans="1:12" s="76" customFormat="1" ht="12.75">
      <c r="A287" s="104"/>
      <c r="B287" s="65"/>
      <c r="C287" s="65"/>
      <c r="D287" s="105"/>
      <c r="E287" s="104"/>
      <c r="F287" s="104"/>
      <c r="G287" s="104"/>
      <c r="H287" s="65"/>
      <c r="I287" s="106"/>
      <c r="J287" s="107"/>
      <c r="K287" s="108"/>
      <c r="L287" s="77"/>
    </row>
    <row r="288" spans="1:12" s="76" customFormat="1" ht="12.75">
      <c r="A288" s="104"/>
      <c r="B288" s="65"/>
      <c r="C288" s="65"/>
      <c r="D288" s="105"/>
      <c r="E288" s="104"/>
      <c r="F288" s="104"/>
      <c r="G288" s="104"/>
      <c r="H288" s="65"/>
      <c r="I288" s="106"/>
      <c r="J288" s="107"/>
      <c r="K288" s="108"/>
      <c r="L288" s="77"/>
    </row>
    <row r="289" spans="1:12" s="76" customFormat="1" ht="12.75">
      <c r="A289" s="104"/>
      <c r="B289" s="65"/>
      <c r="C289" s="65"/>
      <c r="D289" s="105"/>
      <c r="E289" s="104"/>
      <c r="F289" s="104"/>
      <c r="G289" s="104"/>
      <c r="H289" s="65"/>
      <c r="I289" s="106"/>
      <c r="J289" s="107"/>
      <c r="K289" s="108"/>
      <c r="L289" s="77"/>
    </row>
    <row r="290" spans="1:12" s="76" customFormat="1" ht="12.75">
      <c r="A290" s="104"/>
      <c r="B290" s="65"/>
      <c r="C290" s="65"/>
      <c r="D290" s="105"/>
      <c r="E290" s="104"/>
      <c r="F290" s="104"/>
      <c r="G290" s="104"/>
      <c r="H290" s="65"/>
      <c r="I290" s="106"/>
      <c r="J290" s="107"/>
      <c r="K290" s="108"/>
      <c r="L290" s="77"/>
    </row>
    <row r="291" spans="1:12" s="76" customFormat="1" ht="12.75">
      <c r="A291" s="104"/>
      <c r="B291" s="65"/>
      <c r="C291" s="65"/>
      <c r="D291" s="105"/>
      <c r="E291" s="104"/>
      <c r="F291" s="104"/>
      <c r="G291" s="104"/>
      <c r="H291" s="65"/>
      <c r="I291" s="106"/>
      <c r="J291" s="107"/>
      <c r="K291" s="108"/>
      <c r="L291" s="77"/>
    </row>
    <row r="292" spans="1:12" s="76" customFormat="1" ht="12.75">
      <c r="A292" s="104"/>
      <c r="B292" s="65"/>
      <c r="C292" s="65"/>
      <c r="D292" s="105"/>
      <c r="E292" s="104"/>
      <c r="F292" s="104"/>
      <c r="G292" s="104"/>
      <c r="H292" s="65"/>
      <c r="I292" s="106"/>
      <c r="J292" s="107"/>
      <c r="K292" s="108"/>
      <c r="L292" s="77"/>
    </row>
    <row r="293" spans="1:12" s="76" customFormat="1" ht="12.75">
      <c r="A293" s="104"/>
      <c r="B293" s="65"/>
      <c r="C293" s="65"/>
      <c r="D293" s="105"/>
      <c r="E293" s="104"/>
      <c r="F293" s="104"/>
      <c r="G293" s="104"/>
      <c r="H293" s="65"/>
      <c r="I293" s="106"/>
      <c r="J293" s="107"/>
      <c r="K293" s="108"/>
      <c r="L293" s="77"/>
    </row>
    <row r="294" spans="1:12" s="76" customFormat="1" ht="12.75">
      <c r="A294" s="104"/>
      <c r="B294" s="65"/>
      <c r="C294" s="65"/>
      <c r="D294" s="105"/>
      <c r="E294" s="104"/>
      <c r="F294" s="104"/>
      <c r="G294" s="104"/>
      <c r="H294" s="65"/>
      <c r="I294" s="106"/>
      <c r="J294" s="107"/>
      <c r="K294" s="108"/>
      <c r="L294" s="77"/>
    </row>
    <row r="295" spans="1:12" s="76" customFormat="1" ht="12.75">
      <c r="A295" s="104"/>
      <c r="B295" s="65"/>
      <c r="C295" s="65"/>
      <c r="D295" s="105"/>
      <c r="E295" s="104"/>
      <c r="F295" s="104"/>
      <c r="G295" s="104"/>
      <c r="H295" s="65"/>
      <c r="I295" s="106"/>
      <c r="J295" s="107"/>
      <c r="K295" s="108"/>
      <c r="L295" s="77"/>
    </row>
    <row r="296" spans="1:12" s="76" customFormat="1" ht="12.75">
      <c r="A296" s="104"/>
      <c r="B296" s="65"/>
      <c r="C296" s="65"/>
      <c r="D296" s="105"/>
      <c r="E296" s="104"/>
      <c r="F296" s="104"/>
      <c r="G296" s="104"/>
      <c r="H296" s="65"/>
      <c r="I296" s="106"/>
      <c r="J296" s="107"/>
      <c r="K296" s="108"/>
      <c r="L296" s="77"/>
    </row>
    <row r="297" spans="1:12" s="76" customFormat="1" ht="12.75">
      <c r="A297" s="104"/>
      <c r="B297" s="65"/>
      <c r="C297" s="65"/>
      <c r="D297" s="105"/>
      <c r="E297" s="104"/>
      <c r="F297" s="104"/>
      <c r="G297" s="104"/>
      <c r="H297" s="65"/>
      <c r="I297" s="106"/>
      <c r="J297" s="107"/>
      <c r="K297" s="108"/>
      <c r="L297" s="77"/>
    </row>
    <row r="298" spans="1:12" s="76" customFormat="1" ht="12.75">
      <c r="A298" s="104"/>
      <c r="B298" s="65"/>
      <c r="C298" s="65"/>
      <c r="D298" s="105"/>
      <c r="E298" s="104"/>
      <c r="F298" s="104"/>
      <c r="G298" s="104"/>
      <c r="H298" s="65"/>
      <c r="I298" s="106"/>
      <c r="J298" s="107"/>
      <c r="K298" s="108"/>
      <c r="L298" s="77"/>
    </row>
    <row r="299" spans="1:12" s="76" customFormat="1" ht="12.75">
      <c r="A299" s="104"/>
      <c r="B299" s="65"/>
      <c r="C299" s="65"/>
      <c r="D299" s="105"/>
      <c r="E299" s="104"/>
      <c r="F299" s="104"/>
      <c r="G299" s="104"/>
      <c r="H299" s="65"/>
      <c r="I299" s="106"/>
      <c r="J299" s="107"/>
      <c r="K299" s="108"/>
      <c r="L299" s="77"/>
    </row>
    <row r="300" spans="1:12" s="76" customFormat="1" ht="12.75">
      <c r="A300" s="104"/>
      <c r="B300" s="65"/>
      <c r="C300" s="65"/>
      <c r="D300" s="105"/>
      <c r="E300" s="104"/>
      <c r="F300" s="104"/>
      <c r="G300" s="104"/>
      <c r="H300" s="65"/>
      <c r="I300" s="106"/>
      <c r="J300" s="107"/>
      <c r="K300" s="108"/>
      <c r="L300" s="77"/>
    </row>
    <row r="301" spans="1:12" s="76" customFormat="1" ht="12.75">
      <c r="A301" s="104"/>
      <c r="B301" s="65"/>
      <c r="C301" s="65"/>
      <c r="D301" s="105"/>
      <c r="E301" s="104"/>
      <c r="F301" s="104"/>
      <c r="G301" s="104"/>
      <c r="H301" s="65"/>
      <c r="I301" s="106"/>
      <c r="J301" s="107"/>
      <c r="K301" s="108"/>
      <c r="L301" s="77"/>
    </row>
    <row r="302" spans="1:12" s="76" customFormat="1" ht="12.75">
      <c r="A302" s="104"/>
      <c r="B302" s="65"/>
      <c r="C302" s="65"/>
      <c r="D302" s="105"/>
      <c r="E302" s="104"/>
      <c r="F302" s="104"/>
      <c r="G302" s="104"/>
      <c r="H302" s="65"/>
      <c r="I302" s="106"/>
      <c r="J302" s="107"/>
      <c r="K302" s="108"/>
      <c r="L302" s="77"/>
    </row>
    <row r="303" spans="1:12" s="76" customFormat="1" ht="12.75">
      <c r="A303" s="104"/>
      <c r="B303" s="65"/>
      <c r="C303" s="65"/>
      <c r="D303" s="105"/>
      <c r="E303" s="104"/>
      <c r="F303" s="104"/>
      <c r="G303" s="104"/>
      <c r="H303" s="65"/>
      <c r="I303" s="106"/>
      <c r="J303" s="107"/>
      <c r="K303" s="108"/>
      <c r="L303" s="77"/>
    </row>
    <row r="304" spans="1:12" s="76" customFormat="1" ht="12.75">
      <c r="A304" s="104"/>
      <c r="B304" s="65"/>
      <c r="C304" s="65"/>
      <c r="D304" s="105"/>
      <c r="E304" s="104"/>
      <c r="F304" s="104"/>
      <c r="G304" s="104"/>
      <c r="H304" s="65"/>
      <c r="I304" s="106"/>
      <c r="J304" s="107"/>
      <c r="K304" s="108"/>
      <c r="L304" s="77"/>
    </row>
    <row r="305" spans="1:12" s="76" customFormat="1" ht="12.75">
      <c r="A305" s="104"/>
      <c r="B305" s="65"/>
      <c r="C305" s="65"/>
      <c r="D305" s="105"/>
      <c r="E305" s="104"/>
      <c r="F305" s="104"/>
      <c r="G305" s="104"/>
      <c r="H305" s="65"/>
      <c r="I305" s="106"/>
      <c r="J305" s="107"/>
      <c r="K305" s="108"/>
      <c r="L305" s="77"/>
    </row>
    <row r="306" spans="1:12" s="76" customFormat="1" ht="12.75">
      <c r="A306" s="104"/>
      <c r="B306" s="65"/>
      <c r="C306" s="65"/>
      <c r="D306" s="105"/>
      <c r="E306" s="104"/>
      <c r="F306" s="104"/>
      <c r="G306" s="104"/>
      <c r="H306" s="65"/>
      <c r="I306" s="106"/>
      <c r="J306" s="107"/>
      <c r="K306" s="108"/>
      <c r="L306" s="77"/>
    </row>
    <row r="307" spans="1:12" s="76" customFormat="1" ht="12.75">
      <c r="A307" s="104"/>
      <c r="B307" s="65"/>
      <c r="C307" s="65"/>
      <c r="D307" s="105"/>
      <c r="E307" s="104"/>
      <c r="F307" s="104"/>
      <c r="G307" s="104"/>
      <c r="H307" s="65"/>
      <c r="I307" s="106"/>
      <c r="J307" s="107"/>
      <c r="K307" s="108"/>
      <c r="L307" s="77"/>
    </row>
    <row r="308" spans="1:12" s="76" customFormat="1" ht="12.75">
      <c r="A308" s="104"/>
      <c r="B308" s="65"/>
      <c r="C308" s="65"/>
      <c r="D308" s="105"/>
      <c r="E308" s="104"/>
      <c r="F308" s="104"/>
      <c r="G308" s="104"/>
      <c r="H308" s="65"/>
      <c r="I308" s="106"/>
      <c r="J308" s="107"/>
      <c r="K308" s="108"/>
      <c r="L308" s="77"/>
    </row>
    <row r="309" spans="1:12" s="76" customFormat="1" ht="12.75">
      <c r="A309" s="104"/>
      <c r="B309" s="65"/>
      <c r="C309" s="65"/>
      <c r="D309" s="105"/>
      <c r="E309" s="104"/>
      <c r="F309" s="104"/>
      <c r="G309" s="104"/>
      <c r="H309" s="65"/>
      <c r="I309" s="106"/>
      <c r="J309" s="107"/>
      <c r="K309" s="108"/>
      <c r="L309" s="77"/>
    </row>
    <row r="310" spans="1:12" s="76" customFormat="1" ht="12.75">
      <c r="A310" s="104"/>
      <c r="B310" s="65"/>
      <c r="C310" s="65"/>
      <c r="D310" s="105"/>
      <c r="E310" s="104"/>
      <c r="F310" s="104"/>
      <c r="G310" s="104"/>
      <c r="H310" s="65"/>
      <c r="I310" s="106"/>
      <c r="J310" s="107"/>
      <c r="K310" s="108"/>
      <c r="L310" s="77"/>
    </row>
    <row r="311" spans="1:12" s="76" customFormat="1" ht="12.75">
      <c r="A311" s="104"/>
      <c r="B311" s="65"/>
      <c r="C311" s="65"/>
      <c r="D311" s="105"/>
      <c r="E311" s="104"/>
      <c r="F311" s="104"/>
      <c r="G311" s="104"/>
      <c r="H311" s="65"/>
      <c r="I311" s="106"/>
      <c r="J311" s="107"/>
      <c r="K311" s="108"/>
      <c r="L311" s="77"/>
    </row>
    <row r="312" spans="1:12" s="76" customFormat="1" ht="12.75">
      <c r="A312" s="104"/>
      <c r="B312" s="65"/>
      <c r="C312" s="65"/>
      <c r="D312" s="105"/>
      <c r="E312" s="104"/>
      <c r="F312" s="104"/>
      <c r="G312" s="104"/>
      <c r="H312" s="65"/>
      <c r="I312" s="106"/>
      <c r="J312" s="107"/>
      <c r="K312" s="108"/>
      <c r="L312" s="77"/>
    </row>
    <row r="313" spans="1:12" s="76" customFormat="1" ht="12.75">
      <c r="A313" s="104"/>
      <c r="B313" s="65"/>
      <c r="C313" s="65"/>
      <c r="D313" s="105"/>
      <c r="E313" s="104"/>
      <c r="F313" s="104"/>
      <c r="G313" s="104"/>
      <c r="H313" s="65"/>
      <c r="I313" s="106"/>
      <c r="J313" s="107"/>
      <c r="K313" s="108"/>
      <c r="L313" s="77"/>
    </row>
    <row r="314" spans="1:12" s="76" customFormat="1" ht="12.75">
      <c r="A314" s="104"/>
      <c r="B314" s="65"/>
      <c r="C314" s="65"/>
      <c r="D314" s="105"/>
      <c r="E314" s="104"/>
      <c r="F314" s="104"/>
      <c r="G314" s="104"/>
      <c r="H314" s="65"/>
      <c r="I314" s="106"/>
      <c r="J314" s="107"/>
      <c r="K314" s="108"/>
      <c r="L314" s="77"/>
    </row>
    <row r="315" spans="1:12" s="76" customFormat="1" ht="12.75">
      <c r="A315" s="104"/>
      <c r="B315" s="65"/>
      <c r="C315" s="65"/>
      <c r="D315" s="105"/>
      <c r="E315" s="104"/>
      <c r="F315" s="104"/>
      <c r="G315" s="104"/>
      <c r="H315" s="65"/>
      <c r="I315" s="106"/>
      <c r="J315" s="107"/>
      <c r="K315" s="108"/>
      <c r="L315" s="77"/>
    </row>
    <row r="316" spans="1:12" s="76" customFormat="1" ht="12.75">
      <c r="A316" s="104"/>
      <c r="B316" s="65"/>
      <c r="C316" s="65"/>
      <c r="D316" s="105"/>
      <c r="E316" s="104"/>
      <c r="F316" s="104"/>
      <c r="G316" s="104"/>
      <c r="H316" s="65"/>
      <c r="I316" s="106"/>
      <c r="J316" s="107"/>
      <c r="K316" s="108"/>
      <c r="L316" s="77"/>
    </row>
    <row r="317" spans="1:12" s="76" customFormat="1" ht="12.75">
      <c r="A317" s="104"/>
      <c r="B317" s="65"/>
      <c r="C317" s="65"/>
      <c r="D317" s="105"/>
      <c r="E317" s="104"/>
      <c r="F317" s="104"/>
      <c r="G317" s="104"/>
      <c r="H317" s="65"/>
      <c r="I317" s="106"/>
      <c r="J317" s="107"/>
      <c r="K317" s="108"/>
      <c r="L317" s="77"/>
    </row>
    <row r="318" spans="1:12" s="76" customFormat="1" ht="12.75">
      <c r="A318" s="104"/>
      <c r="B318" s="65"/>
      <c r="C318" s="65"/>
      <c r="D318" s="105"/>
      <c r="E318" s="104"/>
      <c r="F318" s="104"/>
      <c r="G318" s="104"/>
      <c r="H318" s="65"/>
      <c r="I318" s="106"/>
      <c r="J318" s="107"/>
      <c r="K318" s="108"/>
      <c r="L318" s="77"/>
    </row>
    <row r="319" spans="1:12" s="76" customFormat="1" ht="12.75">
      <c r="A319" s="104"/>
      <c r="B319" s="65"/>
      <c r="C319" s="65"/>
      <c r="D319" s="105"/>
      <c r="E319" s="104"/>
      <c r="F319" s="104"/>
      <c r="G319" s="104"/>
      <c r="H319" s="65"/>
      <c r="I319" s="106"/>
      <c r="J319" s="107"/>
      <c r="K319" s="108"/>
      <c r="L319" s="77"/>
    </row>
    <row r="320" spans="1:12" s="76" customFormat="1" ht="12.75">
      <c r="A320" s="104"/>
      <c r="B320" s="65"/>
      <c r="C320" s="65"/>
      <c r="D320" s="105"/>
      <c r="E320" s="104"/>
      <c r="F320" s="104"/>
      <c r="G320" s="104"/>
      <c r="H320" s="65"/>
      <c r="I320" s="106"/>
      <c r="J320" s="107"/>
      <c r="K320" s="108"/>
      <c r="L320" s="77"/>
    </row>
    <row r="321" spans="1:12" s="76" customFormat="1" ht="12.75">
      <c r="A321" s="104"/>
      <c r="B321" s="65"/>
      <c r="C321" s="65"/>
      <c r="D321" s="105"/>
      <c r="E321" s="104"/>
      <c r="F321" s="104"/>
      <c r="G321" s="104"/>
      <c r="H321" s="65"/>
      <c r="I321" s="106"/>
      <c r="J321" s="107"/>
      <c r="K321" s="108"/>
      <c r="L321" s="77"/>
    </row>
    <row r="322" spans="1:12" s="76" customFormat="1" ht="12.75">
      <c r="A322" s="104"/>
      <c r="B322" s="65"/>
      <c r="C322" s="65"/>
      <c r="D322" s="105"/>
      <c r="E322" s="104"/>
      <c r="F322" s="104"/>
      <c r="G322" s="104"/>
      <c r="H322" s="65"/>
      <c r="I322" s="106"/>
      <c r="J322" s="107"/>
      <c r="K322" s="108"/>
      <c r="L322" s="77"/>
    </row>
    <row r="323" spans="1:12" s="76" customFormat="1" ht="12.75">
      <c r="A323" s="104"/>
      <c r="B323" s="65"/>
      <c r="C323" s="65"/>
      <c r="D323" s="105"/>
      <c r="E323" s="104"/>
      <c r="F323" s="104"/>
      <c r="G323" s="104"/>
      <c r="H323" s="65"/>
      <c r="I323" s="106"/>
      <c r="J323" s="107"/>
      <c r="K323" s="108"/>
      <c r="L323" s="77"/>
    </row>
  </sheetData>
  <sheetProtection/>
  <mergeCells count="262">
    <mergeCell ref="D41:G41"/>
    <mergeCell ref="D220:G220"/>
    <mergeCell ref="D221:G221"/>
    <mergeCell ref="D222:G222"/>
    <mergeCell ref="D223:G223"/>
    <mergeCell ref="D250:G250"/>
    <mergeCell ref="D249:G249"/>
    <mergeCell ref="D242:G242"/>
    <mergeCell ref="D245:G245"/>
    <mergeCell ref="D237:G237"/>
    <mergeCell ref="D243:G243"/>
    <mergeCell ref="D38:G38"/>
    <mergeCell ref="D82:G82"/>
    <mergeCell ref="D214:G214"/>
    <mergeCell ref="D215:G215"/>
    <mergeCell ref="D224:G224"/>
    <mergeCell ref="D219:G219"/>
    <mergeCell ref="D163:G163"/>
    <mergeCell ref="D205:G205"/>
    <mergeCell ref="D178:G178"/>
    <mergeCell ref="D177:G177"/>
    <mergeCell ref="K6:K7"/>
    <mergeCell ref="D6:G7"/>
    <mergeCell ref="H6:H7"/>
    <mergeCell ref="I6:I7"/>
    <mergeCell ref="J6:J7"/>
    <mergeCell ref="D89:G89"/>
    <mergeCell ref="D43:G43"/>
    <mergeCell ref="D99:G99"/>
    <mergeCell ref="D97:G97"/>
    <mergeCell ref="D213:G213"/>
    <mergeCell ref="D204:G204"/>
    <mergeCell ref="D179:G179"/>
    <mergeCell ref="D180:G180"/>
    <mergeCell ref="D162:G162"/>
    <mergeCell ref="B6:B7"/>
    <mergeCell ref="C6:C7"/>
    <mergeCell ref="D90:G90"/>
    <mergeCell ref="D91:G91"/>
    <mergeCell ref="D106:G106"/>
    <mergeCell ref="D100:G100"/>
    <mergeCell ref="D206:G206"/>
    <mergeCell ref="D102:G102"/>
    <mergeCell ref="D115:G115"/>
    <mergeCell ref="D135:G135"/>
    <mergeCell ref="D171:G171"/>
    <mergeCell ref="D112:G112"/>
    <mergeCell ref="D149:G149"/>
    <mergeCell ref="D150:G150"/>
    <mergeCell ref="D117:G117"/>
    <mergeCell ref="D80:G80"/>
    <mergeCell ref="D84:G84"/>
    <mergeCell ref="D54:G54"/>
    <mergeCell ref="D65:G65"/>
    <mergeCell ref="D169:G169"/>
    <mergeCell ref="D57:G57"/>
    <mergeCell ref="D59:G59"/>
    <mergeCell ref="D87:G87"/>
    <mergeCell ref="D61:G61"/>
    <mergeCell ref="D63:G63"/>
    <mergeCell ref="D71:G71"/>
    <mergeCell ref="D73:G73"/>
    <mergeCell ref="D9:G9"/>
    <mergeCell ref="D17:G17"/>
    <mergeCell ref="D18:G18"/>
    <mergeCell ref="D15:G15"/>
    <mergeCell ref="D30:G30"/>
    <mergeCell ref="D55:G55"/>
    <mergeCell ref="D67:G67"/>
    <mergeCell ref="D72:G72"/>
    <mergeCell ref="D22:G22"/>
    <mergeCell ref="D13:G13"/>
    <mergeCell ref="D207:G207"/>
    <mergeCell ref="D35:G35"/>
    <mergeCell ref="D36:G36"/>
    <mergeCell ref="D42:G42"/>
    <mergeCell ref="D49:G49"/>
    <mergeCell ref="D85:G85"/>
    <mergeCell ref="D69:G69"/>
    <mergeCell ref="D70:G70"/>
    <mergeCell ref="D208:G208"/>
    <mergeCell ref="D238:G238"/>
    <mergeCell ref="D239:G239"/>
    <mergeCell ref="D31:G31"/>
    <mergeCell ref="D37:G37"/>
    <mergeCell ref="D39:G39"/>
    <mergeCell ref="D203:G203"/>
    <mergeCell ref="D88:G88"/>
    <mergeCell ref="D210:G210"/>
    <mergeCell ref="D40:G40"/>
    <mergeCell ref="D8:G8"/>
    <mergeCell ref="D26:G26"/>
    <mergeCell ref="D27:G27"/>
    <mergeCell ref="D28:G28"/>
    <mergeCell ref="D29:G29"/>
    <mergeCell ref="D14:G14"/>
    <mergeCell ref="D16:G16"/>
    <mergeCell ref="D23:G23"/>
    <mergeCell ref="D11:G11"/>
    <mergeCell ref="D24:G24"/>
    <mergeCell ref="D50:G50"/>
    <mergeCell ref="D48:G48"/>
    <mergeCell ref="D32:G32"/>
    <mergeCell ref="D33:G33"/>
    <mergeCell ref="D66:G66"/>
    <mergeCell ref="D60:G60"/>
    <mergeCell ref="D52:G52"/>
    <mergeCell ref="D53:G53"/>
    <mergeCell ref="D64:G64"/>
    <mergeCell ref="D62:G62"/>
    <mergeCell ref="D86:G86"/>
    <mergeCell ref="D111:G111"/>
    <mergeCell ref="D108:G108"/>
    <mergeCell ref="D107:G107"/>
    <mergeCell ref="D109:G109"/>
    <mergeCell ref="D110:G110"/>
    <mergeCell ref="D98:G98"/>
    <mergeCell ref="D95:G95"/>
    <mergeCell ref="D96:G96"/>
    <mergeCell ref="D92:G92"/>
    <mergeCell ref="D133:G133"/>
    <mergeCell ref="D93:G93"/>
    <mergeCell ref="D94:G94"/>
    <mergeCell ref="D101:G101"/>
    <mergeCell ref="D103:G103"/>
    <mergeCell ref="D104:G104"/>
    <mergeCell ref="D116:G116"/>
    <mergeCell ref="D114:G114"/>
    <mergeCell ref="D105:G105"/>
    <mergeCell ref="D113:G113"/>
    <mergeCell ref="D132:G132"/>
    <mergeCell ref="D120:G120"/>
    <mergeCell ref="D121:G121"/>
    <mergeCell ref="D122:G122"/>
    <mergeCell ref="D123:G123"/>
    <mergeCell ref="D159:G159"/>
    <mergeCell ref="D125:G125"/>
    <mergeCell ref="D126:G126"/>
    <mergeCell ref="D128:G128"/>
    <mergeCell ref="D129:G129"/>
    <mergeCell ref="D139:G139"/>
    <mergeCell ref="D191:G191"/>
    <mergeCell ref="D196:G196"/>
    <mergeCell ref="D118:G118"/>
    <mergeCell ref="D153:G153"/>
    <mergeCell ref="D154:G154"/>
    <mergeCell ref="D147:G147"/>
    <mergeCell ref="D170:G170"/>
    <mergeCell ref="D119:G119"/>
    <mergeCell ref="D124:G124"/>
    <mergeCell ref="D142:G142"/>
    <mergeCell ref="D130:G130"/>
    <mergeCell ref="D131:G131"/>
    <mergeCell ref="D127:G127"/>
    <mergeCell ref="D134:G134"/>
    <mergeCell ref="D140:G140"/>
    <mergeCell ref="D141:G141"/>
    <mergeCell ref="D136:G136"/>
    <mergeCell ref="D137:G137"/>
    <mergeCell ref="D138:G138"/>
    <mergeCell ref="D152:G152"/>
    <mergeCell ref="D156:G156"/>
    <mergeCell ref="D148:G148"/>
    <mergeCell ref="D166:G166"/>
    <mergeCell ref="D143:G143"/>
    <mergeCell ref="D144:G144"/>
    <mergeCell ref="D185:G185"/>
    <mergeCell ref="D167:G167"/>
    <mergeCell ref="D168:G168"/>
    <mergeCell ref="D173:G173"/>
    <mergeCell ref="D172:G172"/>
    <mergeCell ref="D145:G145"/>
    <mergeCell ref="D146:G146"/>
    <mergeCell ref="D160:G160"/>
    <mergeCell ref="D155:G155"/>
    <mergeCell ref="D151:G151"/>
    <mergeCell ref="D190:G190"/>
    <mergeCell ref="D198:G198"/>
    <mergeCell ref="D187:G187"/>
    <mergeCell ref="D193:G193"/>
    <mergeCell ref="D194:G194"/>
    <mergeCell ref="D189:G189"/>
    <mergeCell ref="D195:G195"/>
    <mergeCell ref="D68:G68"/>
    <mergeCell ref="D77:G77"/>
    <mergeCell ref="D75:G75"/>
    <mergeCell ref="D74:G74"/>
    <mergeCell ref="D181:G181"/>
    <mergeCell ref="D182:G182"/>
    <mergeCell ref="D164:G164"/>
    <mergeCell ref="D165:G165"/>
    <mergeCell ref="D176:G176"/>
    <mergeCell ref="D174:G174"/>
    <mergeCell ref="D79:G79"/>
    <mergeCell ref="D81:G81"/>
    <mergeCell ref="D76:G76"/>
    <mergeCell ref="D200:G200"/>
    <mergeCell ref="D244:G244"/>
    <mergeCell ref="D192:G192"/>
    <mergeCell ref="D188:G188"/>
    <mergeCell ref="D199:G199"/>
    <mergeCell ref="D183:G183"/>
    <mergeCell ref="D184:G184"/>
    <mergeCell ref="D255:G255"/>
    <mergeCell ref="D161:G161"/>
    <mergeCell ref="D175:G175"/>
    <mergeCell ref="D209:G209"/>
    <mergeCell ref="D246:G246"/>
    <mergeCell ref="D253:G253"/>
    <mergeCell ref="D211:G211"/>
    <mergeCell ref="D212:G212"/>
    <mergeCell ref="D248:G248"/>
    <mergeCell ref="D254:G254"/>
    <mergeCell ref="A6:A7"/>
    <mergeCell ref="D58:G58"/>
    <mergeCell ref="D12:G12"/>
    <mergeCell ref="D56:G56"/>
    <mergeCell ref="D19:G19"/>
    <mergeCell ref="D201:G201"/>
    <mergeCell ref="D44:G44"/>
    <mergeCell ref="D45:G45"/>
    <mergeCell ref="D47:G47"/>
    <mergeCell ref="D83:G83"/>
    <mergeCell ref="D46:G46"/>
    <mergeCell ref="D236:G236"/>
    <mergeCell ref="D233:G233"/>
    <mergeCell ref="D240:G240"/>
    <mergeCell ref="D247:G247"/>
    <mergeCell ref="D216:G216"/>
    <mergeCell ref="D217:G217"/>
    <mergeCell ref="D218:G218"/>
    <mergeCell ref="D241:G241"/>
    <mergeCell ref="D78:G78"/>
    <mergeCell ref="D261:G261"/>
    <mergeCell ref="D264:G264"/>
    <mergeCell ref="D252:G252"/>
    <mergeCell ref="D226:G226"/>
    <mergeCell ref="D227:G227"/>
    <mergeCell ref="D228:G228"/>
    <mergeCell ref="D229:G229"/>
    <mergeCell ref="D230:G230"/>
    <mergeCell ref="D231:G231"/>
    <mergeCell ref="D232:G232"/>
    <mergeCell ref="D51:G51"/>
    <mergeCell ref="D225:G225"/>
    <mergeCell ref="D251:G251"/>
    <mergeCell ref="D157:G157"/>
    <mergeCell ref="D158:G158"/>
    <mergeCell ref="D202:G202"/>
    <mergeCell ref="D186:G186"/>
    <mergeCell ref="D197:G197"/>
    <mergeCell ref="D234:G234"/>
    <mergeCell ref="D235:G235"/>
    <mergeCell ref="A2:A5"/>
    <mergeCell ref="A1:K1"/>
    <mergeCell ref="E2:K2"/>
    <mergeCell ref="E3:K3"/>
    <mergeCell ref="E4:I5"/>
    <mergeCell ref="J4:J5"/>
    <mergeCell ref="K4:K5"/>
    <mergeCell ref="B2:D3"/>
    <mergeCell ref="B4:D5"/>
  </mergeCells>
  <printOptions horizontalCentered="1" verticalCentered="1"/>
  <pageMargins left="0.1968503937007874" right="0.31496062992125984" top="0.15748031496062992" bottom="0.15748031496062992" header="0.11811023622047245" footer="0.11811023622047245"/>
  <pageSetup horizontalDpi="300" verticalDpi="300" orientation="landscape" paperSize="9" scale="84" r:id="rId2"/>
  <rowBreaks count="8" manualBreakCount="8">
    <brk id="38" max="10" man="1"/>
    <brk id="60" max="10" man="1"/>
    <brk id="87" max="10" man="1"/>
    <brk id="118" max="10" man="1"/>
    <brk id="145" max="10" man="1"/>
    <brk id="174" max="10" man="1"/>
    <brk id="202" max="10" man="1"/>
    <brk id="231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SheetLayoutView="100" zoomScalePageLayoutView="0" workbookViewId="0" topLeftCell="A16">
      <selection activeCell="A6" sqref="A6"/>
    </sheetView>
  </sheetViews>
  <sheetFormatPr defaultColWidth="9.140625" defaultRowHeight="12.75"/>
  <cols>
    <col min="1" max="1" width="7.28125" style="0" customWidth="1"/>
    <col min="2" max="2" width="55.57421875" style="0" customWidth="1"/>
    <col min="3" max="3" width="11.8515625" style="0" customWidth="1"/>
    <col min="4" max="4" width="13.140625" style="0" customWidth="1"/>
    <col min="5" max="5" width="13.57421875" style="0" customWidth="1"/>
    <col min="6" max="8" width="13.7109375" style="0" customWidth="1"/>
    <col min="9" max="9" width="13.00390625" style="0" customWidth="1"/>
    <col min="10" max="10" width="10.140625" style="0" bestFit="1" customWidth="1"/>
    <col min="11" max="11" width="12.421875" style="0" customWidth="1"/>
  </cols>
  <sheetData>
    <row r="1" spans="1:9" ht="18.75" thickBot="1">
      <c r="A1" s="403" t="s">
        <v>256</v>
      </c>
      <c r="B1" s="404"/>
      <c r="C1" s="404"/>
      <c r="D1" s="404"/>
      <c r="E1" s="404"/>
      <c r="F1" s="404"/>
      <c r="G1" s="404"/>
      <c r="H1" s="404"/>
      <c r="I1" s="405"/>
    </row>
    <row r="2" spans="1:9" ht="18.75" thickBot="1">
      <c r="A2" s="403" t="s">
        <v>257</v>
      </c>
      <c r="B2" s="404"/>
      <c r="C2" s="404"/>
      <c r="D2" s="404"/>
      <c r="E2" s="404"/>
      <c r="F2" s="406"/>
      <c r="G2" s="406"/>
      <c r="H2" s="406"/>
      <c r="I2" s="407"/>
    </row>
    <row r="3" spans="1:9" ht="15.75" customHeight="1">
      <c r="A3" s="408" t="str">
        <f>'POSTO DA GUARDA MAROBA'!E2</f>
        <v>OBRA/SERVIÇO: CONCLUSÃO DA CONSTRUÇÃO DO POSTO DA GUARDA MUNICIPAL</v>
      </c>
      <c r="B3" s="409"/>
      <c r="C3" s="409"/>
      <c r="D3" s="409"/>
      <c r="E3" s="409"/>
      <c r="F3" s="419" t="s">
        <v>258</v>
      </c>
      <c r="G3" s="420"/>
      <c r="H3" s="413">
        <f>'POSTO DA GUARDA MAROBA'!K4</f>
        <v>366406.0753451001</v>
      </c>
      <c r="I3" s="414"/>
    </row>
    <row r="4" spans="1:9" ht="15.75" customHeight="1" thickBot="1">
      <c r="A4" s="250" t="str">
        <f>'[1]Plan 1'!D4</f>
        <v>LOCAL: MAROBÁ - PRESIDENTE KENNEDY - ES</v>
      </c>
      <c r="B4" s="36"/>
      <c r="C4" s="36"/>
      <c r="D4" s="36"/>
      <c r="E4" s="265"/>
      <c r="F4" s="421"/>
      <c r="G4" s="422"/>
      <c r="H4" s="415"/>
      <c r="I4" s="416"/>
    </row>
    <row r="5" spans="1:9" ht="13.5" thickBot="1">
      <c r="A5" s="410" t="str">
        <f>'POSTO DA GUARDA MAROBA'!E4</f>
        <v>TABELA: IOPES AGO/2016, EMOP MAR/2015, SINAPI SET/16</v>
      </c>
      <c r="B5" s="411"/>
      <c r="C5" s="411"/>
      <c r="D5" s="411"/>
      <c r="E5" s="412"/>
      <c r="F5" s="423"/>
      <c r="G5" s="424"/>
      <c r="H5" s="417"/>
      <c r="I5" s="418"/>
    </row>
    <row r="6" spans="1:9" ht="16.5" customHeight="1">
      <c r="A6" s="251" t="s">
        <v>18</v>
      </c>
      <c r="B6" s="237" t="s">
        <v>259</v>
      </c>
      <c r="C6" s="37" t="s">
        <v>261</v>
      </c>
      <c r="D6" s="37" t="s">
        <v>262</v>
      </c>
      <c r="E6" s="37" t="s">
        <v>263</v>
      </c>
      <c r="F6" s="319" t="s">
        <v>264</v>
      </c>
      <c r="G6" s="319" t="s">
        <v>549</v>
      </c>
      <c r="H6" s="319" t="s">
        <v>809</v>
      </c>
      <c r="I6" s="320" t="s">
        <v>260</v>
      </c>
    </row>
    <row r="7" spans="1:13" s="42" customFormat="1" ht="16.5" customHeight="1">
      <c r="A7" s="252" t="s">
        <v>265</v>
      </c>
      <c r="B7" s="238" t="s">
        <v>0</v>
      </c>
      <c r="C7" s="38">
        <f>'POSTO DA GUARDA MAROBA'!K8</f>
        <v>3716.072</v>
      </c>
      <c r="D7" s="39"/>
      <c r="E7" s="40"/>
      <c r="F7" s="40"/>
      <c r="G7" s="40"/>
      <c r="H7" s="40"/>
      <c r="I7" s="239">
        <f>SUM(C7:H7)</f>
        <v>3716.072</v>
      </c>
      <c r="J7" s="41"/>
      <c r="K7" s="41"/>
      <c r="M7" s="41"/>
    </row>
    <row r="8" spans="1:13" s="42" customFormat="1" ht="16.5" customHeight="1">
      <c r="A8" s="252" t="s">
        <v>266</v>
      </c>
      <c r="B8" s="238" t="s">
        <v>66</v>
      </c>
      <c r="C8" s="43">
        <f>'POSTO DA GUARDA MAROBA'!K17</f>
        <v>30827.9125</v>
      </c>
      <c r="D8" s="43"/>
      <c r="E8" s="40"/>
      <c r="F8" s="40"/>
      <c r="G8" s="40"/>
      <c r="H8" s="40"/>
      <c r="I8" s="239">
        <f aca="true" t="shared" si="0" ref="I8:I28">SUM(C8:H8)</f>
        <v>30827.9125</v>
      </c>
      <c r="J8" s="41"/>
      <c r="K8" s="41"/>
      <c r="M8" s="41"/>
    </row>
    <row r="9" spans="1:13" s="42" customFormat="1" ht="16.5" customHeight="1">
      <c r="A9" s="252" t="s">
        <v>267</v>
      </c>
      <c r="B9" s="238" t="s">
        <v>92</v>
      </c>
      <c r="C9" s="40">
        <f>'POSTO DA GUARDA MAROBA'!K28</f>
        <v>38809.77084</v>
      </c>
      <c r="D9" s="40"/>
      <c r="E9" s="40"/>
      <c r="F9" s="40"/>
      <c r="G9" s="40"/>
      <c r="H9" s="40"/>
      <c r="I9" s="239">
        <f t="shared" si="0"/>
        <v>38809.77084</v>
      </c>
      <c r="J9" s="41"/>
      <c r="K9" s="41"/>
      <c r="M9" s="41"/>
    </row>
    <row r="10" spans="1:13" s="42" customFormat="1" ht="16.5" customHeight="1">
      <c r="A10" s="252" t="s">
        <v>268</v>
      </c>
      <c r="B10" s="238" t="s">
        <v>96</v>
      </c>
      <c r="D10" s="40">
        <f>'POSTO DA GUARDA MAROBA'!K31</f>
        <v>1924.12</v>
      </c>
      <c r="E10" s="40"/>
      <c r="F10" s="40"/>
      <c r="G10" s="40"/>
      <c r="H10" s="40"/>
      <c r="I10" s="239">
        <f>SUM(D10:H10)</f>
        <v>1924.12</v>
      </c>
      <c r="J10" s="41"/>
      <c r="K10" s="41"/>
      <c r="M10" s="41"/>
    </row>
    <row r="11" spans="1:13" s="42" customFormat="1" ht="16.5" customHeight="1">
      <c r="A11" s="252" t="s">
        <v>269</v>
      </c>
      <c r="B11" s="238" t="s">
        <v>97</v>
      </c>
      <c r="C11" s="40"/>
      <c r="D11" s="40">
        <f>'POSTO DA GUARDA MAROBA'!K35*0.5</f>
        <v>6923.952359999999</v>
      </c>
      <c r="E11" s="40">
        <f>'POSTO DA GUARDA MAROBA'!K35*0.5</f>
        <v>6923.952359999999</v>
      </c>
      <c r="F11" s="40"/>
      <c r="G11" s="40"/>
      <c r="H11" s="40"/>
      <c r="I11" s="239">
        <f t="shared" si="0"/>
        <v>13847.904719999999</v>
      </c>
      <c r="J11" s="41"/>
      <c r="K11" s="41"/>
      <c r="M11" s="41"/>
    </row>
    <row r="12" spans="1:13" s="42" customFormat="1" ht="16.5" customHeight="1">
      <c r="A12" s="252" t="s">
        <v>270</v>
      </c>
      <c r="B12" s="238" t="s">
        <v>663</v>
      </c>
      <c r="C12" s="40"/>
      <c r="E12" s="40">
        <f>'POSTO DA GUARDA MAROBA'!K42</f>
        <v>9966.837734</v>
      </c>
      <c r="F12" s="40"/>
      <c r="G12" s="40"/>
      <c r="H12" s="40"/>
      <c r="I12" s="239">
        <f t="shared" si="0"/>
        <v>9966.837734</v>
      </c>
      <c r="J12" s="41"/>
      <c r="K12" s="41"/>
      <c r="M12" s="41"/>
    </row>
    <row r="13" spans="1:13" s="42" customFormat="1" ht="16.5" customHeight="1">
      <c r="A13" s="252" t="s">
        <v>271</v>
      </c>
      <c r="B13" s="238" t="s">
        <v>314</v>
      </c>
      <c r="C13" s="40"/>
      <c r="D13" s="40">
        <f>'POSTO DA GUARDA MAROBA'!K52</f>
        <v>13357.6762023</v>
      </c>
      <c r="E13" s="40"/>
      <c r="F13" s="40"/>
      <c r="G13" s="40"/>
      <c r="H13" s="40"/>
      <c r="I13" s="239">
        <f t="shared" si="0"/>
        <v>13357.6762023</v>
      </c>
      <c r="J13" s="41"/>
      <c r="K13" s="41"/>
      <c r="M13" s="41"/>
    </row>
    <row r="14" spans="1:13" s="42" customFormat="1" ht="16.5" customHeight="1">
      <c r="A14" s="252" t="s">
        <v>272</v>
      </c>
      <c r="B14" s="240" t="s">
        <v>317</v>
      </c>
      <c r="C14" s="45"/>
      <c r="E14" s="45">
        <f>'POSTO DA GUARDA MAROBA'!K57</f>
        <v>612.528</v>
      </c>
      <c r="F14" s="45"/>
      <c r="G14" s="45"/>
      <c r="H14" s="45"/>
      <c r="I14" s="239">
        <f t="shared" si="0"/>
        <v>612.528</v>
      </c>
      <c r="J14" s="41"/>
      <c r="K14" s="41"/>
      <c r="M14" s="41"/>
    </row>
    <row r="15" spans="1:13" s="42" customFormat="1" ht="16.5" customHeight="1">
      <c r="A15" s="252" t="s">
        <v>273</v>
      </c>
      <c r="B15" s="240" t="s">
        <v>109</v>
      </c>
      <c r="C15" s="45"/>
      <c r="D15" s="45">
        <f>'POSTO DA GUARDA MAROBA'!K61</f>
        <v>19002.352600000002</v>
      </c>
      <c r="E15" s="45"/>
      <c r="F15" s="45"/>
      <c r="G15" s="45"/>
      <c r="H15" s="45"/>
      <c r="I15" s="239">
        <f t="shared" si="0"/>
        <v>19002.352600000002</v>
      </c>
      <c r="J15" s="41"/>
      <c r="K15" s="41"/>
      <c r="M15" s="41"/>
    </row>
    <row r="16" spans="1:13" s="42" customFormat="1" ht="16.5" customHeight="1">
      <c r="A16" s="252" t="s">
        <v>274</v>
      </c>
      <c r="B16" s="240" t="s">
        <v>111</v>
      </c>
      <c r="C16" s="45"/>
      <c r="D16" s="45">
        <f>'POSTO DA GUARDA MAROBA'!K64*0.5</f>
        <v>1236.9517500000002</v>
      </c>
      <c r="E16" s="45">
        <f>'POSTO DA GUARDA MAROBA'!K64*0.5</f>
        <v>1236.9517500000002</v>
      </c>
      <c r="F16" s="45"/>
      <c r="G16" s="45"/>
      <c r="H16" s="45"/>
      <c r="I16" s="239">
        <f t="shared" si="0"/>
        <v>2473.9035000000003</v>
      </c>
      <c r="J16" s="41"/>
      <c r="K16" s="41"/>
      <c r="M16" s="41"/>
    </row>
    <row r="17" spans="1:13" s="42" customFormat="1" ht="16.5" customHeight="1">
      <c r="A17" s="252" t="s">
        <v>275</v>
      </c>
      <c r="B17" s="240" t="s">
        <v>114</v>
      </c>
      <c r="C17" s="45"/>
      <c r="D17" s="44"/>
      <c r="E17" s="45">
        <f>'POSTO DA GUARDA MAROBA'!K67*0.4</f>
        <v>13936.700179920002</v>
      </c>
      <c r="F17" s="45">
        <f>'POSTO DA GUARDA MAROBA'!K67*0.6</f>
        <v>20905.05026988</v>
      </c>
      <c r="G17" s="45"/>
      <c r="H17" s="45"/>
      <c r="I17" s="239">
        <f t="shared" si="0"/>
        <v>34841.750449800005</v>
      </c>
      <c r="J17" s="41"/>
      <c r="K17" s="41"/>
      <c r="M17" s="41"/>
    </row>
    <row r="18" spans="1:13" s="42" customFormat="1" ht="16.5" customHeight="1">
      <c r="A18" s="252" t="s">
        <v>120</v>
      </c>
      <c r="B18" s="240" t="s">
        <v>14</v>
      </c>
      <c r="C18" s="45"/>
      <c r="D18" s="45"/>
      <c r="E18" s="45">
        <f>'POSTO DA GUARDA MAROBA'!K76*0.3</f>
        <v>6514.923059999999</v>
      </c>
      <c r="F18" s="45">
        <f>'POSTO DA GUARDA MAROBA'!K76*0.7</f>
        <v>15201.487139999997</v>
      </c>
      <c r="G18" s="45"/>
      <c r="H18" s="45"/>
      <c r="I18" s="239">
        <f t="shared" si="0"/>
        <v>21716.4102</v>
      </c>
      <c r="J18" s="41"/>
      <c r="K18" s="41"/>
      <c r="M18" s="41"/>
    </row>
    <row r="19" spans="1:13" s="42" customFormat="1" ht="16.5" customHeight="1">
      <c r="A19" s="252" t="s">
        <v>276</v>
      </c>
      <c r="B19" s="240" t="s">
        <v>22</v>
      </c>
      <c r="C19" s="45"/>
      <c r="D19" s="45">
        <f>'POSTO DA GUARDA MAROBA'!K88*0.3</f>
        <v>4841.325719999999</v>
      </c>
      <c r="E19" s="45">
        <f>'POSTO DA GUARDA MAROBA'!K88*0.5</f>
        <v>8068.876199999999</v>
      </c>
      <c r="F19" s="45">
        <f>'POSTO DA GUARDA MAROBA'!K88*0.2</f>
        <v>3227.55048</v>
      </c>
      <c r="G19" s="45"/>
      <c r="H19" s="45"/>
      <c r="I19" s="239">
        <f t="shared" si="0"/>
        <v>16137.752399999998</v>
      </c>
      <c r="J19" s="41"/>
      <c r="K19" s="41"/>
      <c r="M19" s="41"/>
    </row>
    <row r="20" spans="1:13" s="42" customFormat="1" ht="16.5" customHeight="1">
      <c r="A20" s="252" t="s">
        <v>46</v>
      </c>
      <c r="B20" s="240" t="s">
        <v>44</v>
      </c>
      <c r="C20" s="45"/>
      <c r="D20" s="45"/>
      <c r="E20" s="45">
        <f>'POSTO DA GUARDA MAROBA'!K116*0.4</f>
        <v>7274.895679999999</v>
      </c>
      <c r="F20" s="45">
        <f>'POSTO DA GUARDA MAROBA'!K116*0.3</f>
        <v>5456.171759999998</v>
      </c>
      <c r="G20" s="45">
        <f>'POSTO DA GUARDA MAROBA'!K116*0.3</f>
        <v>5456.171759999998</v>
      </c>
      <c r="H20" s="45"/>
      <c r="I20" s="239">
        <f t="shared" si="0"/>
        <v>18187.239199999996</v>
      </c>
      <c r="J20" s="41"/>
      <c r="K20" s="41"/>
      <c r="M20" s="41"/>
    </row>
    <row r="21" spans="1:13" s="42" customFormat="1" ht="16.5" customHeight="1">
      <c r="A21" s="252" t="s">
        <v>277</v>
      </c>
      <c r="B21" s="240" t="s">
        <v>512</v>
      </c>
      <c r="C21" s="45"/>
      <c r="D21" s="45"/>
      <c r="E21" s="45">
        <f>'POSTO DA GUARDA MAROBA'!K156</f>
        <v>2476.2584599999996</v>
      </c>
      <c r="F21" s="40"/>
      <c r="G21" s="40"/>
      <c r="H21" s="45"/>
      <c r="I21" s="239">
        <f t="shared" si="0"/>
        <v>2476.2584599999996</v>
      </c>
      <c r="J21" s="41"/>
      <c r="K21" s="41"/>
      <c r="M21" s="41"/>
    </row>
    <row r="22" spans="1:13" s="42" customFormat="1" ht="16.5" customHeight="1">
      <c r="A22" s="252" t="s">
        <v>278</v>
      </c>
      <c r="B22" s="240" t="s">
        <v>45</v>
      </c>
      <c r="C22" s="45"/>
      <c r="D22" s="45"/>
      <c r="E22" s="44"/>
      <c r="F22" s="44"/>
      <c r="G22" s="40">
        <f>'POSTO DA GUARDA MAROBA'!K163*0.7</f>
        <v>14506.485800099998</v>
      </c>
      <c r="H22" s="45">
        <f>'POSTO DA GUARDA MAROBA'!K163*0.3</f>
        <v>6217.0653428999985</v>
      </c>
      <c r="I22" s="239">
        <f t="shared" si="0"/>
        <v>20723.551142999997</v>
      </c>
      <c r="J22" s="41"/>
      <c r="K22" s="41"/>
      <c r="M22" s="41"/>
    </row>
    <row r="23" spans="1:13" s="42" customFormat="1" ht="16.5" customHeight="1">
      <c r="A23" s="252" t="s">
        <v>279</v>
      </c>
      <c r="B23" s="240" t="s">
        <v>513</v>
      </c>
      <c r="C23" s="45"/>
      <c r="D23" s="45"/>
      <c r="E23" s="45"/>
      <c r="F23" s="40">
        <f>'POSTO DA GUARDA MAROBA'!K183*0.4</f>
        <v>3297.8020000000006</v>
      </c>
      <c r="G23" s="40">
        <f>'POSTO DA GUARDA MAROBA'!K183*0.4</f>
        <v>3297.8020000000006</v>
      </c>
      <c r="H23" s="45">
        <f>'POSTO DA GUARDA MAROBA'!K183*0.2</f>
        <v>1648.9010000000003</v>
      </c>
      <c r="I23" s="239">
        <f t="shared" si="0"/>
        <v>8244.505000000001</v>
      </c>
      <c r="J23" s="41"/>
      <c r="K23" s="41"/>
      <c r="M23" s="41"/>
    </row>
    <row r="24" spans="1:13" s="42" customFormat="1" ht="16.5" customHeight="1">
      <c r="A24" s="252" t="s">
        <v>280</v>
      </c>
      <c r="B24" s="240" t="s">
        <v>167</v>
      </c>
      <c r="C24" s="45"/>
      <c r="D24" s="45"/>
      <c r="E24" s="45"/>
      <c r="F24" s="44"/>
      <c r="G24" s="40">
        <f>'POSTO DA GUARDA MAROBA'!K203*0.6</f>
        <v>7722.02274</v>
      </c>
      <c r="H24" s="45">
        <f>'POSTO DA GUARDA MAROBA'!K203*0.4</f>
        <v>5148.015160000001</v>
      </c>
      <c r="I24" s="239">
        <f t="shared" si="0"/>
        <v>12870.037900000001</v>
      </c>
      <c r="J24" s="41"/>
      <c r="K24" s="41"/>
      <c r="M24" s="41"/>
    </row>
    <row r="25" spans="1:13" s="42" customFormat="1" ht="16.5" customHeight="1">
      <c r="A25" s="252" t="s">
        <v>281</v>
      </c>
      <c r="B25" s="240" t="s">
        <v>516</v>
      </c>
      <c r="C25" s="45"/>
      <c r="D25" s="45"/>
      <c r="E25" s="45"/>
      <c r="F25" s="40">
        <f>'POSTO DA GUARDA MAROBA'!K211</f>
        <v>533.46</v>
      </c>
      <c r="G25" s="40"/>
      <c r="H25" s="45"/>
      <c r="I25" s="239">
        <f t="shared" si="0"/>
        <v>533.46</v>
      </c>
      <c r="J25" s="41"/>
      <c r="K25" s="41"/>
      <c r="M25" s="41"/>
    </row>
    <row r="26" spans="1:13" s="42" customFormat="1" ht="16.5" customHeight="1">
      <c r="A26" s="252" t="s">
        <v>282</v>
      </c>
      <c r="B26" s="240" t="s">
        <v>517</v>
      </c>
      <c r="C26" s="45"/>
      <c r="D26" s="45"/>
      <c r="E26" s="45"/>
      <c r="G26" s="40">
        <f>'POSTO DA GUARDA MAROBA'!K214*0.7</f>
        <v>9106.2520773</v>
      </c>
      <c r="H26" s="45">
        <f>'POSTO DA GUARDA MAROBA'!K214*0.3</f>
        <v>3902.6794616999996</v>
      </c>
      <c r="I26" s="239">
        <f t="shared" si="0"/>
        <v>13008.931539</v>
      </c>
      <c r="J26" s="41"/>
      <c r="K26" s="41"/>
      <c r="M26" s="41"/>
    </row>
    <row r="27" spans="1:13" s="42" customFormat="1" ht="16.5" customHeight="1">
      <c r="A27" s="252" t="s">
        <v>515</v>
      </c>
      <c r="B27" s="240" t="s">
        <v>411</v>
      </c>
      <c r="C27" s="45"/>
      <c r="D27" s="45"/>
      <c r="E27" s="44"/>
      <c r="F27" s="40"/>
      <c r="G27" s="40"/>
      <c r="H27" s="45">
        <f>'POSTO DA GUARDA MAROBA'!K226</f>
        <v>12856.9846</v>
      </c>
      <c r="I27" s="239">
        <f t="shared" si="0"/>
        <v>12856.9846</v>
      </c>
      <c r="J27" s="41"/>
      <c r="K27" s="41"/>
      <c r="M27" s="41"/>
    </row>
    <row r="28" spans="1:13" s="42" customFormat="1" ht="16.5" customHeight="1" thickBot="1">
      <c r="A28" s="252" t="s">
        <v>372</v>
      </c>
      <c r="B28" s="241" t="s">
        <v>514</v>
      </c>
      <c r="C28" s="242"/>
      <c r="D28" s="242"/>
      <c r="F28" s="242">
        <f>'POSTO DA GUARDA MAROBA'!K237*0.1</f>
        <v>7027.011635700001</v>
      </c>
      <c r="G28" s="242">
        <f>'POSTO DA GUARDA MAROBA'!K237*0.6</f>
        <v>42162.069814200004</v>
      </c>
      <c r="H28" s="242">
        <f>'POSTO DA GUARDA MAROBA'!K237*0.3</f>
        <v>21081.034907100002</v>
      </c>
      <c r="I28" s="239">
        <f t="shared" si="0"/>
        <v>70270.116357</v>
      </c>
      <c r="J28" s="41"/>
      <c r="K28" s="41"/>
      <c r="M28" s="41"/>
    </row>
    <row r="29" spans="1:11" s="50" customFormat="1" ht="16.5" customHeight="1" thickBot="1">
      <c r="A29" s="253" t="s">
        <v>283</v>
      </c>
      <c r="B29" s="46"/>
      <c r="C29" s="47">
        <f>SUM(C7:C28)</f>
        <v>73353.75534</v>
      </c>
      <c r="D29" s="47">
        <f>SUM(D8:D28)</f>
        <v>47286.378632299995</v>
      </c>
      <c r="E29" s="47">
        <f>SUM(E7:E28)</f>
        <v>57011.92342392</v>
      </c>
      <c r="F29" s="47">
        <f>SUM(F7:F28)</f>
        <v>55648.53328557999</v>
      </c>
      <c r="G29" s="47">
        <f>SUM(G7:G28)</f>
        <v>82250.80419160001</v>
      </c>
      <c r="H29" s="47">
        <f>SUM(H7:H28)</f>
        <v>50854.680471700005</v>
      </c>
      <c r="I29" s="254">
        <f>SUM(I7:I28)</f>
        <v>366406.0753451001</v>
      </c>
      <c r="J29" s="48"/>
      <c r="K29" s="49"/>
    </row>
    <row r="30" spans="1:10" ht="16.5" customHeight="1" thickBot="1">
      <c r="A30" s="249" t="s">
        <v>284</v>
      </c>
      <c r="B30" s="51"/>
      <c r="C30" s="52">
        <f>C29</f>
        <v>73353.75534</v>
      </c>
      <c r="D30" s="52">
        <f>C30+D29</f>
        <v>120640.1339723</v>
      </c>
      <c r="E30" s="52">
        <f>D30+E29</f>
        <v>177652.05739621999</v>
      </c>
      <c r="F30" s="52">
        <f>E30+F29</f>
        <v>233300.59068179998</v>
      </c>
      <c r="G30" s="52">
        <f>F30+G29</f>
        <v>315551.3948734</v>
      </c>
      <c r="H30" s="52">
        <f>G30+H29</f>
        <v>366406.0753451</v>
      </c>
      <c r="I30" s="255"/>
      <c r="J30" s="53"/>
    </row>
    <row r="31" spans="1:9" ht="16.5" customHeight="1" thickBot="1">
      <c r="A31" s="249" t="s">
        <v>285</v>
      </c>
      <c r="B31" s="51"/>
      <c r="C31" s="52">
        <f>C29*100/I29</f>
        <v>20.019797780621314</v>
      </c>
      <c r="D31" s="52">
        <f>D29*100/I29</f>
        <v>12.905457036366892</v>
      </c>
      <c r="E31" s="52">
        <f>E29*100/I29</f>
        <v>15.559764769244953</v>
      </c>
      <c r="F31" s="52">
        <f>F29*100/I29</f>
        <v>15.18766664367324</v>
      </c>
      <c r="G31" s="52">
        <f>G29*100/I29</f>
        <v>22.447991375179022</v>
      </c>
      <c r="H31" s="52">
        <f>H29*100/I29</f>
        <v>13.879322394914563</v>
      </c>
      <c r="I31" s="255">
        <f>SUM(C31:H31)</f>
        <v>100</v>
      </c>
    </row>
    <row r="32" spans="1:9" ht="16.5" customHeight="1" thickBot="1">
      <c r="A32" s="249" t="s">
        <v>286</v>
      </c>
      <c r="B32" s="51"/>
      <c r="C32" s="52">
        <f>C31</f>
        <v>20.019797780621314</v>
      </c>
      <c r="D32" s="52">
        <f>C32+D31</f>
        <v>32.92525481698821</v>
      </c>
      <c r="E32" s="52">
        <f>D32+E31</f>
        <v>48.485019586233165</v>
      </c>
      <c r="F32" s="52">
        <f>E32+F31</f>
        <v>63.672686229906404</v>
      </c>
      <c r="G32" s="52">
        <f>F32+G31</f>
        <v>86.12067760508543</v>
      </c>
      <c r="H32" s="52">
        <f>G32+H31</f>
        <v>100</v>
      </c>
      <c r="I32" s="255"/>
    </row>
    <row r="36" ht="12.75">
      <c r="B36" s="244" t="s">
        <v>521</v>
      </c>
    </row>
    <row r="37" ht="12.75">
      <c r="B37" s="42" t="s">
        <v>787</v>
      </c>
    </row>
    <row r="38" ht="12.75">
      <c r="B38" s="42" t="s">
        <v>810</v>
      </c>
    </row>
    <row r="39" ht="12.75">
      <c r="B39" s="42" t="s">
        <v>811</v>
      </c>
    </row>
    <row r="40" ht="12.75">
      <c r="B40" s="42" t="s">
        <v>812</v>
      </c>
    </row>
    <row r="44" ht="12.75">
      <c r="B44" t="s">
        <v>432</v>
      </c>
    </row>
  </sheetData>
  <sheetProtection/>
  <mergeCells count="6">
    <mergeCell ref="A1:I1"/>
    <mergeCell ref="A2:I2"/>
    <mergeCell ref="A3:E3"/>
    <mergeCell ref="A5:E5"/>
    <mergeCell ref="H3:I5"/>
    <mergeCell ref="F3:G5"/>
  </mergeCells>
  <printOptions/>
  <pageMargins left="0.9055118110236221" right="0.5118110236220472" top="0.7874015748031497" bottom="0.3937007874015748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3">
      <selection activeCell="C92" sqref="C92"/>
    </sheetView>
  </sheetViews>
  <sheetFormatPr defaultColWidth="9.140625" defaultRowHeight="12.75"/>
  <cols>
    <col min="1" max="1" width="11.140625" style="0" customWidth="1"/>
    <col min="2" max="2" width="11.00390625" style="0" customWidth="1"/>
    <col min="3" max="3" width="10.421875" style="0" customWidth="1"/>
    <col min="4" max="4" width="10.8515625" style="0" customWidth="1"/>
    <col min="5" max="5" width="11.8515625" style="0" customWidth="1"/>
    <col min="7" max="7" width="11.00390625" style="0" customWidth="1"/>
    <col min="10" max="10" width="10.8515625" style="0" customWidth="1"/>
  </cols>
  <sheetData>
    <row r="1" ht="12.75">
      <c r="A1" t="s">
        <v>664</v>
      </c>
    </row>
    <row r="3" spans="1:3" ht="12.75">
      <c r="A3" s="427" t="s">
        <v>665</v>
      </c>
      <c r="B3" s="427"/>
      <c r="C3" s="427"/>
    </row>
    <row r="4" spans="1:3" ht="12.75">
      <c r="A4" s="269" t="s">
        <v>666</v>
      </c>
      <c r="B4" s="269" t="s">
        <v>667</v>
      </c>
      <c r="C4" s="270"/>
    </row>
    <row r="5" spans="1:3" ht="12.75">
      <c r="A5" s="271">
        <v>9</v>
      </c>
      <c r="B5" s="271">
        <v>15.66</v>
      </c>
      <c r="C5" s="288">
        <f>A5+B5</f>
        <v>24.66</v>
      </c>
    </row>
    <row r="7" spans="1:5" s="42" customFormat="1" ht="12.75">
      <c r="A7" s="429" t="s">
        <v>668</v>
      </c>
      <c r="B7" s="430"/>
      <c r="C7" s="430"/>
      <c r="D7" s="430"/>
      <c r="E7" s="431"/>
    </row>
    <row r="8" spans="1:5" s="42" customFormat="1" ht="12.75">
      <c r="A8" s="272" t="s">
        <v>669</v>
      </c>
      <c r="B8" s="273"/>
      <c r="C8" s="274"/>
      <c r="D8" s="274"/>
      <c r="E8" s="275"/>
    </row>
    <row r="9" spans="1:5" s="42" customFormat="1" ht="12.75">
      <c r="A9" s="276" t="s">
        <v>670</v>
      </c>
      <c r="B9" s="277"/>
      <c r="C9" s="278"/>
      <c r="D9" s="278"/>
      <c r="E9" s="279"/>
    </row>
    <row r="10" spans="1:5" s="42" customFormat="1" ht="12.75">
      <c r="A10" s="280" t="s">
        <v>675</v>
      </c>
      <c r="B10" s="281"/>
      <c r="C10" s="282"/>
      <c r="D10" s="282"/>
      <c r="E10" s="283"/>
    </row>
    <row r="11" s="42" customFormat="1" ht="12.75">
      <c r="B11" s="41"/>
    </row>
    <row r="12" spans="1:4" s="42" customFormat="1" ht="12.75">
      <c r="A12" s="426" t="s">
        <v>671</v>
      </c>
      <c r="B12" s="426"/>
      <c r="C12" s="426"/>
      <c r="D12" s="426"/>
    </row>
    <row r="13" spans="1:4" s="42" customFormat="1" ht="12.75">
      <c r="A13" s="285" t="s">
        <v>672</v>
      </c>
      <c r="B13" s="266" t="s">
        <v>673</v>
      </c>
      <c r="C13" s="286" t="s">
        <v>674</v>
      </c>
      <c r="D13" s="286"/>
    </row>
    <row r="14" spans="1:4" s="42" customFormat="1" ht="12.75">
      <c r="A14" s="287">
        <v>0.8</v>
      </c>
      <c r="B14" s="287">
        <v>2.1</v>
      </c>
      <c r="C14" s="287">
        <v>6</v>
      </c>
      <c r="D14" s="287">
        <f>(A14+B14+B14)*C14</f>
        <v>30</v>
      </c>
    </row>
    <row r="15" spans="1:4" s="42" customFormat="1" ht="12.75">
      <c r="A15" s="287">
        <v>0.6</v>
      </c>
      <c r="B15" s="287">
        <v>2.1</v>
      </c>
      <c r="C15" s="287">
        <v>2</v>
      </c>
      <c r="D15" s="287">
        <f>(A15+B15+B15)*C15</f>
        <v>9.600000000000001</v>
      </c>
    </row>
    <row r="16" spans="1:4" s="42" customFormat="1" ht="12.75">
      <c r="A16" s="284"/>
      <c r="B16" s="284"/>
      <c r="C16" s="284"/>
      <c r="D16" s="288">
        <f>SUM(D14:D15)</f>
        <v>39.6</v>
      </c>
    </row>
    <row r="17" s="42" customFormat="1" ht="12.75">
      <c r="B17" s="41"/>
    </row>
    <row r="18" spans="1:5" s="42" customFormat="1" ht="12.75">
      <c r="A18" s="425" t="s">
        <v>676</v>
      </c>
      <c r="B18" s="425"/>
      <c r="C18" s="425"/>
      <c r="D18" s="425"/>
      <c r="E18" s="425"/>
    </row>
    <row r="19" spans="1:5" s="42" customFormat="1" ht="12.75">
      <c r="A19" s="272" t="s">
        <v>677</v>
      </c>
      <c r="B19" s="273" t="s">
        <v>678</v>
      </c>
      <c r="C19" s="274"/>
      <c r="D19" s="274"/>
      <c r="E19" s="275"/>
    </row>
    <row r="20" spans="1:5" s="42" customFormat="1" ht="12.75">
      <c r="A20" s="289" t="s">
        <v>679</v>
      </c>
      <c r="B20" s="277" t="s">
        <v>680</v>
      </c>
      <c r="C20" s="278"/>
      <c r="D20" s="278"/>
      <c r="E20" s="279"/>
    </row>
    <row r="21" spans="1:5" s="42" customFormat="1" ht="12.75">
      <c r="A21" s="290" t="s">
        <v>681</v>
      </c>
      <c r="B21" s="281"/>
      <c r="C21" s="282"/>
      <c r="D21" s="282"/>
      <c r="E21" s="283"/>
    </row>
    <row r="22" s="42" customFormat="1" ht="12.75">
      <c r="B22" s="41"/>
    </row>
    <row r="23" spans="1:5" s="42" customFormat="1" ht="12.75">
      <c r="A23" s="432" t="s">
        <v>682</v>
      </c>
      <c r="B23" s="433"/>
      <c r="C23" s="433"/>
      <c r="D23" s="433"/>
      <c r="E23" s="434"/>
    </row>
    <row r="24" spans="1:5" s="42" customFormat="1" ht="12.75">
      <c r="A24" s="291" t="s">
        <v>683</v>
      </c>
      <c r="B24" s="292"/>
      <c r="C24" s="293"/>
      <c r="D24" s="293"/>
      <c r="E24" s="294"/>
    </row>
    <row r="25" s="42" customFormat="1" ht="12.75">
      <c r="B25" s="41"/>
    </row>
    <row r="26" spans="1:4" s="42" customFormat="1" ht="12.75">
      <c r="A26" s="425" t="s">
        <v>684</v>
      </c>
      <c r="B26" s="425"/>
      <c r="C26" s="425"/>
      <c r="D26" s="425"/>
    </row>
    <row r="27" spans="1:4" s="42" customFormat="1" ht="12.75">
      <c r="A27" s="425" t="s">
        <v>685</v>
      </c>
      <c r="B27" s="425"/>
      <c r="C27" s="428" t="s">
        <v>686</v>
      </c>
      <c r="D27" s="428"/>
    </row>
    <row r="28" spans="1:4" s="42" customFormat="1" ht="12.75">
      <c r="A28" s="276" t="s">
        <v>687</v>
      </c>
      <c r="B28" s="277" t="s">
        <v>688</v>
      </c>
      <c r="C28" s="278"/>
      <c r="D28" s="279"/>
    </row>
    <row r="29" spans="1:4" s="50" customFormat="1" ht="12.75">
      <c r="A29" s="295" t="s">
        <v>689</v>
      </c>
      <c r="B29" s="296"/>
      <c r="C29" s="282">
        <f>514.8-112.28</f>
        <v>402.52</v>
      </c>
      <c r="D29" s="297"/>
    </row>
    <row r="31" spans="1:3" ht="12.75">
      <c r="A31" s="425" t="s">
        <v>690</v>
      </c>
      <c r="B31" s="425"/>
      <c r="C31" s="425"/>
    </row>
    <row r="32" spans="1:3" ht="12.75">
      <c r="A32" s="285" t="s">
        <v>691</v>
      </c>
      <c r="B32" s="286" t="s">
        <v>692</v>
      </c>
      <c r="C32" s="270"/>
    </row>
    <row r="33" spans="1:3" ht="12.75">
      <c r="A33" s="270">
        <v>15.66</v>
      </c>
      <c r="B33" s="270">
        <v>0.08</v>
      </c>
      <c r="C33" s="288">
        <f>A33*B33</f>
        <v>1.2528000000000001</v>
      </c>
    </row>
    <row r="35" spans="1:3" ht="12.75">
      <c r="A35" s="425" t="s">
        <v>693</v>
      </c>
      <c r="B35" s="425"/>
      <c r="C35" s="288">
        <f>C33*60</f>
        <v>75.168</v>
      </c>
    </row>
    <row r="37" spans="1:7" ht="12.75">
      <c r="A37" s="425" t="s">
        <v>694</v>
      </c>
      <c r="B37" s="425"/>
      <c r="C37" s="425"/>
      <c r="D37" s="425"/>
      <c r="E37" s="425"/>
      <c r="F37" s="425"/>
      <c r="G37" s="425"/>
    </row>
    <row r="38" spans="1:7" ht="12.75">
      <c r="A38" s="272" t="s">
        <v>695</v>
      </c>
      <c r="B38" s="298"/>
      <c r="C38" s="298"/>
      <c r="D38" s="298"/>
      <c r="E38" s="298"/>
      <c r="F38" s="298"/>
      <c r="G38" s="299"/>
    </row>
    <row r="39" spans="1:7" ht="12.75">
      <c r="A39" s="300" t="s">
        <v>696</v>
      </c>
      <c r="B39" s="301"/>
      <c r="C39" s="301"/>
      <c r="D39" s="301"/>
      <c r="E39" s="301"/>
      <c r="F39" s="302" t="s">
        <v>697</v>
      </c>
      <c r="G39" s="303"/>
    </row>
    <row r="41" spans="1:9" ht="12.75">
      <c r="A41" s="304" t="s">
        <v>698</v>
      </c>
      <c r="B41" s="305"/>
      <c r="C41" s="305"/>
      <c r="D41" s="305"/>
      <c r="E41" s="306"/>
      <c r="F41" s="305"/>
      <c r="G41" s="305"/>
      <c r="H41" s="305"/>
      <c r="I41" s="307"/>
    </row>
    <row r="42" spans="1:9" ht="12.75">
      <c r="A42" s="291" t="s">
        <v>699</v>
      </c>
      <c r="B42" s="305"/>
      <c r="C42" s="305"/>
      <c r="D42" s="305"/>
      <c r="E42" s="306" t="s">
        <v>700</v>
      </c>
      <c r="F42" s="305"/>
      <c r="G42" s="305"/>
      <c r="H42" s="305"/>
      <c r="I42" s="307"/>
    </row>
    <row r="44" spans="1:4" ht="12.75">
      <c r="A44" s="425" t="s">
        <v>701</v>
      </c>
      <c r="B44" s="425"/>
      <c r="C44" s="425"/>
      <c r="D44" s="425"/>
    </row>
    <row r="45" spans="1:4" ht="12.75">
      <c r="A45" s="285" t="s">
        <v>672</v>
      </c>
      <c r="B45" s="286" t="s">
        <v>673</v>
      </c>
      <c r="C45" s="286" t="s">
        <v>674</v>
      </c>
      <c r="D45" s="270"/>
    </row>
    <row r="46" spans="1:5" ht="12.75">
      <c r="A46" s="271">
        <v>0.8</v>
      </c>
      <c r="B46" s="271">
        <v>2.1</v>
      </c>
      <c r="C46" s="271">
        <v>4</v>
      </c>
      <c r="D46" s="271">
        <f>(B46+A46+B46)*C46</f>
        <v>20</v>
      </c>
      <c r="E46" s="285" t="s">
        <v>702</v>
      </c>
    </row>
    <row r="47" spans="1:5" ht="12.75">
      <c r="A47" s="271">
        <v>0.6</v>
      </c>
      <c r="B47" s="271">
        <v>2.1</v>
      </c>
      <c r="C47" s="271">
        <v>2</v>
      </c>
      <c r="D47" s="271">
        <f>(B47+A47+B47)*C47</f>
        <v>9.600000000000001</v>
      </c>
      <c r="E47" s="308">
        <v>2</v>
      </c>
    </row>
    <row r="48" spans="4:5" ht="12.75">
      <c r="D48" s="271">
        <f>SUM(D46:D47)</f>
        <v>29.6</v>
      </c>
      <c r="E48" s="309">
        <f>D48*E47</f>
        <v>59.2</v>
      </c>
    </row>
    <row r="49" spans="1:4" ht="12.75">
      <c r="A49" s="268"/>
      <c r="B49" s="268"/>
      <c r="C49" s="268"/>
      <c r="D49" s="268"/>
    </row>
    <row r="50" spans="1:4" ht="12.75">
      <c r="A50" s="425" t="s">
        <v>703</v>
      </c>
      <c r="B50" s="425"/>
      <c r="C50" s="425"/>
      <c r="D50" s="425"/>
    </row>
    <row r="51" spans="1:4" ht="12.75">
      <c r="A51" s="286" t="s">
        <v>672</v>
      </c>
      <c r="B51" s="286" t="s">
        <v>673</v>
      </c>
      <c r="C51" s="286" t="s">
        <v>674</v>
      </c>
      <c r="D51" s="309"/>
    </row>
    <row r="52" spans="1:4" ht="12.75">
      <c r="A52" s="271">
        <v>0.5</v>
      </c>
      <c r="B52" s="271">
        <v>1.6</v>
      </c>
      <c r="C52" s="271">
        <v>3</v>
      </c>
      <c r="D52" s="288">
        <f>A52*B52*C52</f>
        <v>2.4000000000000004</v>
      </c>
    </row>
    <row r="54" spans="1:4" ht="12.75">
      <c r="A54" s="425" t="s">
        <v>704</v>
      </c>
      <c r="B54" s="425"/>
      <c r="C54" s="425"/>
      <c r="D54" s="425"/>
    </row>
    <row r="55" spans="1:4" ht="12.75">
      <c r="A55" s="286" t="s">
        <v>672</v>
      </c>
      <c r="B55" s="286" t="s">
        <v>673</v>
      </c>
      <c r="C55" s="286" t="s">
        <v>674</v>
      </c>
      <c r="D55" s="269"/>
    </row>
    <row r="56" spans="1:4" ht="12.75">
      <c r="A56" s="271">
        <v>1.5</v>
      </c>
      <c r="B56" s="271">
        <v>1.1</v>
      </c>
      <c r="C56" s="271">
        <v>3</v>
      </c>
      <c r="D56" s="271">
        <f>A56*B56*C56</f>
        <v>4.95</v>
      </c>
    </row>
    <row r="57" spans="1:4" ht="12.75">
      <c r="A57" s="271">
        <v>1.2</v>
      </c>
      <c r="B57" s="271">
        <v>0.6</v>
      </c>
      <c r="C57" s="271">
        <v>1</v>
      </c>
      <c r="D57" s="271">
        <f>A57*B57*C57</f>
        <v>0.72</v>
      </c>
    </row>
    <row r="58" spans="1:4" ht="12.75">
      <c r="A58" s="271">
        <v>1.5</v>
      </c>
      <c r="B58" s="271">
        <v>0.6</v>
      </c>
      <c r="C58" s="271">
        <v>1</v>
      </c>
      <c r="D58" s="271">
        <f>A58*B58*C58</f>
        <v>0.8999999999999999</v>
      </c>
    </row>
    <row r="59" ht="12.75">
      <c r="D59" s="288">
        <f>SUM(D56:D58)</f>
        <v>6.57</v>
      </c>
    </row>
    <row r="61" spans="1:4" ht="12.75">
      <c r="A61" s="425" t="s">
        <v>705</v>
      </c>
      <c r="B61" s="425"/>
      <c r="C61" s="425"/>
      <c r="D61" s="425"/>
    </row>
    <row r="62" spans="1:4" ht="12.75">
      <c r="A62" s="271">
        <v>0.6</v>
      </c>
      <c r="B62" s="271">
        <v>0.4</v>
      </c>
      <c r="C62" s="271">
        <v>1</v>
      </c>
      <c r="D62" s="288">
        <f>A62*B62*C62</f>
        <v>0.24</v>
      </c>
    </row>
    <row r="64" spans="1:8" ht="12.75">
      <c r="A64" s="425" t="s">
        <v>706</v>
      </c>
      <c r="B64" s="425"/>
      <c r="C64" s="425"/>
      <c r="D64" s="425"/>
      <c r="E64" s="425"/>
      <c r="F64" s="425"/>
      <c r="G64" s="425"/>
      <c r="H64" s="425"/>
    </row>
    <row r="65" spans="1:8" ht="12.75">
      <c r="A65" s="304" t="s">
        <v>708</v>
      </c>
      <c r="B65" s="305"/>
      <c r="C65" s="293" t="s">
        <v>707</v>
      </c>
      <c r="D65" s="305"/>
      <c r="E65" s="305"/>
      <c r="F65" s="305"/>
      <c r="G65" s="305"/>
      <c r="H65" s="307">
        <f>(1.6*3.99)+(1.6*4)+(1.6*4.79)+(1.6*4.32)</f>
        <v>27.36</v>
      </c>
    </row>
    <row r="66" spans="1:4" ht="12.75">
      <c r="A66" s="304" t="s">
        <v>709</v>
      </c>
      <c r="B66" s="293" t="s">
        <v>710</v>
      </c>
      <c r="C66" s="305">
        <f>0.9*2.1</f>
        <v>1.8900000000000001</v>
      </c>
      <c r="D66" s="307"/>
    </row>
    <row r="67" spans="1:4" ht="12.75">
      <c r="A67" s="291" t="s">
        <v>711</v>
      </c>
      <c r="B67" s="293" t="s">
        <v>712</v>
      </c>
      <c r="C67" s="305"/>
      <c r="D67" s="310">
        <v>7.6</v>
      </c>
    </row>
    <row r="68" spans="1:4" ht="12.75">
      <c r="A68" s="291" t="s">
        <v>713</v>
      </c>
      <c r="B68" s="293" t="s">
        <v>714</v>
      </c>
      <c r="C68" s="305">
        <f>1.8*1.8</f>
        <v>3.24</v>
      </c>
      <c r="D68" s="307"/>
    </row>
    <row r="69" spans="2:3" ht="12.75">
      <c r="B69" s="44" t="s">
        <v>715</v>
      </c>
      <c r="C69" s="288">
        <f>H65+C66+D67+C68</f>
        <v>40.09</v>
      </c>
    </row>
    <row r="71" spans="1:9" ht="12.75">
      <c r="A71" s="425" t="s">
        <v>716</v>
      </c>
      <c r="B71" s="425"/>
      <c r="C71" s="425"/>
      <c r="D71" s="425"/>
      <c r="E71" s="425"/>
      <c r="F71" s="425"/>
      <c r="G71" s="425"/>
      <c r="H71" s="425"/>
      <c r="I71" s="425"/>
    </row>
    <row r="72" spans="1:9" ht="12.75">
      <c r="A72" s="426" t="s">
        <v>717</v>
      </c>
      <c r="B72" s="426"/>
      <c r="C72" s="426"/>
      <c r="D72" s="426"/>
      <c r="E72" s="426"/>
      <c r="F72" s="426"/>
      <c r="G72" s="426"/>
      <c r="H72" s="426"/>
      <c r="I72" s="309">
        <v>6.81</v>
      </c>
    </row>
    <row r="74" spans="1:3" ht="12.75">
      <c r="A74" s="425" t="s">
        <v>718</v>
      </c>
      <c r="B74" s="425"/>
      <c r="C74" s="425"/>
    </row>
    <row r="75" spans="1:3" ht="12.75">
      <c r="A75" s="271">
        <v>1.5</v>
      </c>
      <c r="B75" s="271">
        <v>0.8</v>
      </c>
      <c r="C75" s="271">
        <f>A75*B75</f>
        <v>1.2000000000000002</v>
      </c>
    </row>
    <row r="76" spans="1:3" ht="12.75">
      <c r="A76" s="271">
        <v>0.6</v>
      </c>
      <c r="B76" s="271">
        <v>0.6</v>
      </c>
      <c r="C76" s="271">
        <f>A76*B76</f>
        <v>0.36</v>
      </c>
    </row>
    <row r="77" spans="1:3" ht="12.75">
      <c r="A77" s="267"/>
      <c r="B77" s="267"/>
      <c r="C77" s="288">
        <f>SUM(C75:C76)</f>
        <v>1.56</v>
      </c>
    </row>
    <row r="79" spans="1:4" ht="12.75">
      <c r="A79" s="304" t="s">
        <v>719</v>
      </c>
      <c r="B79" s="305"/>
      <c r="C79" s="305"/>
      <c r="D79" s="307"/>
    </row>
    <row r="80" spans="1:2" ht="12.75">
      <c r="A80" s="44" t="s">
        <v>720</v>
      </c>
      <c r="B80" s="309">
        <f>0.9*2.32</f>
        <v>2.088</v>
      </c>
    </row>
    <row r="82" spans="1:9" ht="12.75">
      <c r="A82" s="425" t="s">
        <v>721</v>
      </c>
      <c r="B82" s="425"/>
      <c r="C82" s="425"/>
      <c r="D82" s="425"/>
      <c r="E82" s="425"/>
      <c r="F82" s="425"/>
      <c r="G82" s="425"/>
      <c r="H82" s="425"/>
      <c r="I82" s="425"/>
    </row>
    <row r="83" spans="1:9" ht="12.75">
      <c r="A83" s="311" t="s">
        <v>722</v>
      </c>
      <c r="B83" s="298"/>
      <c r="C83" s="298"/>
      <c r="D83" s="298"/>
      <c r="E83" s="298"/>
      <c r="F83" s="298"/>
      <c r="G83" s="298"/>
      <c r="H83" s="298"/>
      <c r="I83" s="299"/>
    </row>
    <row r="84" spans="1:9" ht="12.75">
      <c r="A84" s="276" t="s">
        <v>723</v>
      </c>
      <c r="B84" s="265"/>
      <c r="C84" s="265"/>
      <c r="D84" s="265"/>
      <c r="E84" s="265"/>
      <c r="F84" s="278" t="s">
        <v>724</v>
      </c>
      <c r="G84" s="265"/>
      <c r="H84" s="265">
        <v>93.31</v>
      </c>
      <c r="I84" s="312"/>
    </row>
    <row r="85" spans="1:11" ht="12.75">
      <c r="A85" s="311" t="s">
        <v>725</v>
      </c>
      <c r="B85" s="298"/>
      <c r="C85" s="298"/>
      <c r="D85" s="298"/>
      <c r="E85" s="298"/>
      <c r="F85" s="298"/>
      <c r="G85" s="298"/>
      <c r="H85" s="298"/>
      <c r="I85" s="298"/>
      <c r="J85" s="298"/>
      <c r="K85" s="299"/>
    </row>
    <row r="86" spans="1:11" ht="12.75">
      <c r="A86" s="276" t="s">
        <v>726</v>
      </c>
      <c r="B86" s="265"/>
      <c r="C86" s="265"/>
      <c r="D86" s="265"/>
      <c r="E86" s="265"/>
      <c r="F86" s="265"/>
      <c r="G86" s="265"/>
      <c r="H86" s="265"/>
      <c r="I86" s="265"/>
      <c r="J86" s="265"/>
      <c r="K86" s="312">
        <v>47.78</v>
      </c>
    </row>
    <row r="87" spans="1:11" ht="12.75">
      <c r="A87" s="313"/>
      <c r="B87" s="282" t="s">
        <v>727</v>
      </c>
      <c r="C87" s="301"/>
      <c r="D87" s="301"/>
      <c r="E87" s="301"/>
      <c r="F87" s="301"/>
      <c r="G87" s="301"/>
      <c r="H87" s="301"/>
      <c r="I87" s="301"/>
      <c r="J87" s="301"/>
      <c r="K87" s="303"/>
    </row>
    <row r="88" spans="1:4" ht="12.75">
      <c r="A88" s="304" t="s">
        <v>728</v>
      </c>
      <c r="B88" s="293" t="s">
        <v>729</v>
      </c>
      <c r="C88" s="305"/>
      <c r="D88" s="309">
        <v>112.42</v>
      </c>
    </row>
    <row r="90" spans="1:2" ht="12.75">
      <c r="A90" s="425" t="s">
        <v>730</v>
      </c>
      <c r="B90" s="425"/>
    </row>
    <row r="91" spans="1:2" ht="12.75">
      <c r="A91" s="314" t="s">
        <v>731</v>
      </c>
      <c r="B91" s="309">
        <v>73.65</v>
      </c>
    </row>
    <row r="93" spans="1:12" ht="12.75">
      <c r="A93" s="425" t="s">
        <v>732</v>
      </c>
      <c r="B93" s="425"/>
      <c r="C93" s="425"/>
      <c r="D93" s="425"/>
      <c r="E93" s="425"/>
      <c r="F93" s="425"/>
      <c r="G93" s="425"/>
      <c r="H93" s="425"/>
      <c r="I93" s="425"/>
      <c r="J93" s="425"/>
      <c r="K93" s="425"/>
      <c r="L93" s="425"/>
    </row>
    <row r="94" spans="1:12" ht="12.75">
      <c r="A94" s="272" t="s">
        <v>733</v>
      </c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9"/>
    </row>
    <row r="95" spans="1:12" ht="12.75">
      <c r="A95" s="280" t="s">
        <v>734</v>
      </c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303">
        <v>57.62</v>
      </c>
    </row>
    <row r="96" spans="1:6" ht="12.75">
      <c r="A96" s="311" t="s">
        <v>735</v>
      </c>
      <c r="B96" s="274"/>
      <c r="C96" s="298"/>
      <c r="D96" s="298"/>
      <c r="E96" s="298"/>
      <c r="F96" s="299"/>
    </row>
    <row r="97" spans="1:6" ht="12.75">
      <c r="A97" s="276" t="s">
        <v>736</v>
      </c>
      <c r="B97" s="278" t="s">
        <v>737</v>
      </c>
      <c r="C97" s="265"/>
      <c r="D97" s="265"/>
      <c r="E97" s="265">
        <v>19.2</v>
      </c>
      <c r="F97" s="312"/>
    </row>
    <row r="98" spans="1:6" ht="12.75">
      <c r="A98" s="276" t="s">
        <v>738</v>
      </c>
      <c r="B98" s="278" t="s">
        <v>739</v>
      </c>
      <c r="C98" s="265"/>
      <c r="D98" s="265"/>
      <c r="E98" s="265"/>
      <c r="F98" s="312">
        <v>18.98</v>
      </c>
    </row>
    <row r="99" spans="1:6" ht="12.75">
      <c r="A99" s="276" t="s">
        <v>740</v>
      </c>
      <c r="B99" s="278" t="s">
        <v>741</v>
      </c>
      <c r="C99" s="265"/>
      <c r="D99" s="265"/>
      <c r="E99" s="265"/>
      <c r="F99" s="312">
        <v>20.22</v>
      </c>
    </row>
    <row r="100" spans="1:6" ht="12.75">
      <c r="A100" s="276" t="s">
        <v>742</v>
      </c>
      <c r="B100" s="278" t="s">
        <v>743</v>
      </c>
      <c r="C100" s="265"/>
      <c r="D100" s="265"/>
      <c r="E100" s="265">
        <v>14.4</v>
      </c>
      <c r="F100" s="312"/>
    </row>
    <row r="101" spans="1:6" ht="12.75">
      <c r="A101" s="280" t="s">
        <v>744</v>
      </c>
      <c r="B101" s="282" t="s">
        <v>745</v>
      </c>
      <c r="C101" s="301"/>
      <c r="D101" s="301"/>
      <c r="E101" s="301">
        <v>7.16</v>
      </c>
      <c r="F101" s="303"/>
    </row>
    <row r="102" spans="2:3" ht="12.75">
      <c r="B102" s="44" t="s">
        <v>260</v>
      </c>
      <c r="C102" s="309">
        <f>L95+E97+F98+F99+E100+E101</f>
        <v>137.57999999999998</v>
      </c>
    </row>
    <row r="104" spans="1:5" ht="12.75">
      <c r="A104" s="425" t="s">
        <v>746</v>
      </c>
      <c r="B104" s="425"/>
      <c r="C104" s="304" t="s">
        <v>747</v>
      </c>
      <c r="D104" s="305"/>
      <c r="E104" s="307"/>
    </row>
    <row r="105" spans="1:5" ht="12.75">
      <c r="A105" s="291" t="s">
        <v>748</v>
      </c>
      <c r="B105" s="305"/>
      <c r="C105" s="305"/>
      <c r="D105" s="305"/>
      <c r="E105" s="307">
        <v>25.09</v>
      </c>
    </row>
    <row r="106" spans="1:5" ht="12.75">
      <c r="A106" s="291" t="s">
        <v>749</v>
      </c>
      <c r="B106" s="293" t="s">
        <v>750</v>
      </c>
      <c r="C106" s="305"/>
      <c r="D106" s="305"/>
      <c r="E106" s="307">
        <v>7.55</v>
      </c>
    </row>
    <row r="107" spans="1:2" ht="12.75">
      <c r="A107" s="314" t="s">
        <v>260</v>
      </c>
      <c r="B107" s="309">
        <f>E105-E106</f>
        <v>17.54</v>
      </c>
    </row>
    <row r="109" spans="1:6" ht="12.75">
      <c r="A109" s="425" t="s">
        <v>751</v>
      </c>
      <c r="B109" s="425"/>
      <c r="C109" s="425"/>
      <c r="D109" s="425"/>
      <c r="E109" s="425"/>
      <c r="F109" s="425"/>
    </row>
    <row r="110" spans="1:6" ht="12.75">
      <c r="A110" s="291" t="s">
        <v>666</v>
      </c>
      <c r="B110" s="293" t="s">
        <v>752</v>
      </c>
      <c r="C110" s="305"/>
      <c r="D110" s="305"/>
      <c r="E110" s="315">
        <v>42.6</v>
      </c>
      <c r="F110" s="307"/>
    </row>
    <row r="111" spans="1:6" ht="12.75">
      <c r="A111" s="291" t="s">
        <v>753</v>
      </c>
      <c r="B111" s="293" t="s">
        <v>754</v>
      </c>
      <c r="C111" s="305"/>
      <c r="D111" s="305"/>
      <c r="E111" s="305"/>
      <c r="F111" s="307">
        <v>45.59</v>
      </c>
    </row>
    <row r="112" spans="1:6" ht="12.75">
      <c r="A112" s="291" t="s">
        <v>755</v>
      </c>
      <c r="B112" s="293" t="s">
        <v>756</v>
      </c>
      <c r="C112" s="305"/>
      <c r="D112" s="305"/>
      <c r="E112" s="305"/>
      <c r="F112" s="307">
        <v>26.03</v>
      </c>
    </row>
    <row r="113" spans="1:2" ht="12.75">
      <c r="A113" s="314" t="s">
        <v>260</v>
      </c>
      <c r="B113" s="309">
        <f>E110+F111+F112</f>
        <v>114.22</v>
      </c>
    </row>
    <row r="115" spans="1:8" ht="12.75">
      <c r="A115" s="425" t="s">
        <v>757</v>
      </c>
      <c r="B115" s="425"/>
      <c r="C115" s="425"/>
      <c r="D115" s="425"/>
      <c r="E115" s="425"/>
      <c r="F115" s="425"/>
      <c r="G115" s="425"/>
      <c r="H115" s="425"/>
    </row>
    <row r="116" spans="1:8" ht="12.75">
      <c r="A116" s="291" t="s">
        <v>758</v>
      </c>
      <c r="B116" s="293" t="s">
        <v>759</v>
      </c>
      <c r="C116" s="305">
        <v>134.46</v>
      </c>
      <c r="D116" s="305"/>
      <c r="E116" s="305"/>
      <c r="F116" s="305"/>
      <c r="G116" s="305"/>
      <c r="H116" s="307"/>
    </row>
    <row r="117" spans="1:8" ht="25.5">
      <c r="A117" s="316" t="s">
        <v>761</v>
      </c>
      <c r="B117" s="293" t="s">
        <v>760</v>
      </c>
      <c r="C117" s="305"/>
      <c r="D117" s="305"/>
      <c r="E117" s="305"/>
      <c r="F117" s="305"/>
      <c r="G117" s="305">
        <v>277.84</v>
      </c>
      <c r="H117" s="307"/>
    </row>
    <row r="118" spans="1:8" ht="25.5">
      <c r="A118" s="316" t="s">
        <v>762</v>
      </c>
      <c r="B118" s="293" t="s">
        <v>763</v>
      </c>
      <c r="C118" s="305"/>
      <c r="D118" s="305"/>
      <c r="E118" s="305"/>
      <c r="F118" s="305"/>
      <c r="G118" s="305"/>
      <c r="H118" s="307">
        <v>98.31</v>
      </c>
    </row>
    <row r="119" spans="1:2" ht="12.75">
      <c r="A119" s="314" t="s">
        <v>764</v>
      </c>
      <c r="B119" s="309">
        <f>C116+G117+H118</f>
        <v>510.60999999999996</v>
      </c>
    </row>
    <row r="121" spans="1:4" ht="12.75">
      <c r="A121" s="425" t="s">
        <v>765</v>
      </c>
      <c r="B121" s="425"/>
      <c r="C121" s="425"/>
      <c r="D121" s="425"/>
    </row>
    <row r="122" spans="1:4" ht="12.75">
      <c r="A122" s="291" t="s">
        <v>766</v>
      </c>
      <c r="B122" s="305"/>
      <c r="C122" s="305"/>
      <c r="D122" s="326">
        <v>228.83</v>
      </c>
    </row>
    <row r="124" spans="1:4" ht="12.75">
      <c r="A124" s="425" t="s">
        <v>767</v>
      </c>
      <c r="B124" s="425"/>
      <c r="C124" s="425"/>
      <c r="D124" s="425"/>
    </row>
    <row r="125" spans="1:4" ht="12.75">
      <c r="A125" s="314" t="s">
        <v>733</v>
      </c>
      <c r="B125" s="44" t="s">
        <v>768</v>
      </c>
      <c r="C125" s="270"/>
      <c r="D125" s="270">
        <v>100.84</v>
      </c>
    </row>
    <row r="126" spans="1:3" ht="12.75">
      <c r="A126" s="426" t="s">
        <v>769</v>
      </c>
      <c r="B126" s="426"/>
      <c r="C126" s="270">
        <v>98.31</v>
      </c>
    </row>
    <row r="127" spans="1:3" ht="12.75">
      <c r="A127" s="314" t="s">
        <v>735</v>
      </c>
      <c r="B127" s="270"/>
      <c r="C127" s="270"/>
    </row>
    <row r="128" spans="1:3" ht="12.75">
      <c r="A128" s="314" t="s">
        <v>770</v>
      </c>
      <c r="B128" s="44" t="s">
        <v>771</v>
      </c>
      <c r="C128" s="270">
        <v>25.6</v>
      </c>
    </row>
    <row r="129" spans="1:3" ht="12.75">
      <c r="A129" s="314" t="s">
        <v>772</v>
      </c>
      <c r="B129" s="44" t="s">
        <v>773</v>
      </c>
      <c r="C129" s="270">
        <v>25.31</v>
      </c>
    </row>
    <row r="130" spans="1:3" ht="12.75">
      <c r="A130" s="314" t="s">
        <v>774</v>
      </c>
      <c r="B130" s="44" t="s">
        <v>775</v>
      </c>
      <c r="C130" s="270">
        <v>26.96</v>
      </c>
    </row>
    <row r="131" spans="1:3" ht="12.75">
      <c r="A131" s="314" t="s">
        <v>776</v>
      </c>
      <c r="B131" s="44" t="s">
        <v>777</v>
      </c>
      <c r="C131" s="270">
        <v>19.2</v>
      </c>
    </row>
    <row r="132" spans="1:3" ht="12.75">
      <c r="A132" s="317"/>
      <c r="B132" s="317"/>
      <c r="C132" s="317">
        <f>SUM(C128:C131)</f>
        <v>97.07000000000001</v>
      </c>
    </row>
    <row r="133" spans="1:4" ht="12.75">
      <c r="A133" s="44" t="s">
        <v>778</v>
      </c>
      <c r="B133" s="44" t="s">
        <v>779</v>
      </c>
      <c r="C133" s="270"/>
      <c r="D133" s="309">
        <v>296.22</v>
      </c>
    </row>
  </sheetData>
  <sheetProtection/>
  <mergeCells count="28">
    <mergeCell ref="A72:H72"/>
    <mergeCell ref="A74:C74"/>
    <mergeCell ref="A7:E7"/>
    <mergeCell ref="A12:D12"/>
    <mergeCell ref="A18:E18"/>
    <mergeCell ref="A23:E23"/>
    <mergeCell ref="A44:D44"/>
    <mergeCell ref="A50:D50"/>
    <mergeCell ref="A54:D54"/>
    <mergeCell ref="A3:C3"/>
    <mergeCell ref="A61:D61"/>
    <mergeCell ref="A64:H64"/>
    <mergeCell ref="A71:I71"/>
    <mergeCell ref="A26:D26"/>
    <mergeCell ref="C27:D27"/>
    <mergeCell ref="A27:B27"/>
    <mergeCell ref="A31:C31"/>
    <mergeCell ref="A35:B35"/>
    <mergeCell ref="A37:G37"/>
    <mergeCell ref="A121:D121"/>
    <mergeCell ref="A124:D124"/>
    <mergeCell ref="A126:B126"/>
    <mergeCell ref="A82:I82"/>
    <mergeCell ref="A90:B90"/>
    <mergeCell ref="A93:L93"/>
    <mergeCell ref="A104:B104"/>
    <mergeCell ref="A109:F109"/>
    <mergeCell ref="A115:H115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85" zoomScaleSheetLayoutView="85" zoomScalePageLayoutView="0" workbookViewId="0" topLeftCell="A1">
      <selection activeCell="H22" sqref="H22"/>
    </sheetView>
  </sheetViews>
  <sheetFormatPr defaultColWidth="9.140625" defaultRowHeight="12.75"/>
  <cols>
    <col min="1" max="1" width="47.00390625" style="0" customWidth="1"/>
    <col min="2" max="2" width="11.00390625" style="0" customWidth="1"/>
    <col min="3" max="3" width="13.00390625" style="0" customWidth="1"/>
    <col min="6" max="6" width="12.421875" style="0" customWidth="1"/>
    <col min="7" max="7" width="12.7109375" style="0" customWidth="1"/>
    <col min="8" max="8" width="11.00390625" style="0" customWidth="1"/>
    <col min="9" max="9" width="12.28125" style="0" customWidth="1"/>
  </cols>
  <sheetData>
    <row r="1" spans="1:9" ht="21.75" thickBot="1">
      <c r="A1" s="454" t="s">
        <v>427</v>
      </c>
      <c r="B1" s="455"/>
      <c r="C1" s="455"/>
      <c r="D1" s="455"/>
      <c r="E1" s="455"/>
      <c r="F1" s="455"/>
      <c r="G1" s="455"/>
      <c r="H1" s="455"/>
      <c r="I1" s="456"/>
    </row>
    <row r="2" spans="1:9" ht="15" customHeight="1">
      <c r="A2" s="202" t="s">
        <v>428</v>
      </c>
      <c r="B2" s="457" t="s">
        <v>819</v>
      </c>
      <c r="C2" s="457"/>
      <c r="D2" s="457"/>
      <c r="E2" s="457"/>
      <c r="F2" s="457"/>
      <c r="G2" s="457"/>
      <c r="H2" s="457"/>
      <c r="I2" s="458"/>
    </row>
    <row r="3" spans="1:9" ht="15">
      <c r="A3" s="203" t="s">
        <v>287</v>
      </c>
      <c r="B3" s="459" t="s">
        <v>528</v>
      </c>
      <c r="C3" s="460"/>
      <c r="D3" s="460"/>
      <c r="E3" s="460"/>
      <c r="F3" s="460"/>
      <c r="G3" s="460"/>
      <c r="H3" s="460"/>
      <c r="I3" s="461"/>
    </row>
    <row r="4" spans="1:9" ht="29.25" customHeight="1">
      <c r="A4" s="203" t="s">
        <v>430</v>
      </c>
      <c r="B4" s="462" t="s">
        <v>525</v>
      </c>
      <c r="C4" s="463"/>
      <c r="D4" s="463"/>
      <c r="E4" s="463"/>
      <c r="F4" s="463"/>
      <c r="G4" s="463"/>
      <c r="H4" s="463"/>
      <c r="I4" s="464"/>
    </row>
    <row r="5" spans="1:9" ht="15.75" thickBot="1">
      <c r="A5" s="204" t="s">
        <v>431</v>
      </c>
      <c r="B5" s="465" t="s">
        <v>302</v>
      </c>
      <c r="C5" s="466"/>
      <c r="D5" s="466"/>
      <c r="E5" s="466"/>
      <c r="F5" s="466"/>
      <c r="G5" s="466"/>
      <c r="H5" s="466"/>
      <c r="I5" s="467"/>
    </row>
    <row r="6" spans="1:9" ht="15">
      <c r="A6" s="468" t="s">
        <v>433</v>
      </c>
      <c r="B6" s="435" t="s">
        <v>434</v>
      </c>
      <c r="C6" s="435" t="s">
        <v>435</v>
      </c>
      <c r="D6" s="470"/>
      <c r="E6" s="470"/>
      <c r="F6" s="435" t="s">
        <v>436</v>
      </c>
      <c r="G6" s="435" t="s">
        <v>437</v>
      </c>
      <c r="H6" s="435" t="s">
        <v>438</v>
      </c>
      <c r="I6" s="437" t="s">
        <v>439</v>
      </c>
    </row>
    <row r="7" spans="1:9" ht="30.75" thickBot="1">
      <c r="A7" s="469"/>
      <c r="B7" s="436"/>
      <c r="C7" s="436"/>
      <c r="D7" s="201" t="s">
        <v>440</v>
      </c>
      <c r="E7" s="201" t="s">
        <v>441</v>
      </c>
      <c r="F7" s="436"/>
      <c r="G7" s="436"/>
      <c r="H7" s="436"/>
      <c r="I7" s="438"/>
    </row>
    <row r="8" spans="1:9" ht="15">
      <c r="A8" s="439" t="s">
        <v>492</v>
      </c>
      <c r="B8" s="440"/>
      <c r="C8" s="440"/>
      <c r="D8" s="440"/>
      <c r="E8" s="440"/>
      <c r="F8" s="440"/>
      <c r="G8" s="440"/>
      <c r="H8" s="440"/>
      <c r="I8" s="441"/>
    </row>
    <row r="9" spans="1:9" ht="15">
      <c r="A9" s="188" t="s">
        <v>443</v>
      </c>
      <c r="B9" s="189" t="s">
        <v>444</v>
      </c>
      <c r="C9" s="190" t="s">
        <v>482</v>
      </c>
      <c r="D9" s="191">
        <v>3</v>
      </c>
      <c r="E9" s="192">
        <v>1</v>
      </c>
      <c r="F9" s="230">
        <v>4.95</v>
      </c>
      <c r="G9" s="160">
        <v>0</v>
      </c>
      <c r="H9" s="231">
        <v>10.97</v>
      </c>
      <c r="I9" s="180">
        <f>D9*H9</f>
        <v>32.910000000000004</v>
      </c>
    </row>
    <row r="10" spans="1:9" ht="15">
      <c r="A10" s="188" t="s">
        <v>506</v>
      </c>
      <c r="B10" s="189" t="s">
        <v>444</v>
      </c>
      <c r="C10" s="190" t="s">
        <v>507</v>
      </c>
      <c r="D10" s="191">
        <v>0.6</v>
      </c>
      <c r="E10" s="192">
        <v>1</v>
      </c>
      <c r="F10" s="192">
        <v>5.87</v>
      </c>
      <c r="G10" s="160">
        <v>0</v>
      </c>
      <c r="H10" s="192">
        <v>13.01</v>
      </c>
      <c r="I10" s="180">
        <f>D10*H10</f>
        <v>7.805999999999999</v>
      </c>
    </row>
    <row r="11" spans="1:9" ht="30.75" thickBot="1">
      <c r="A11" s="194"/>
      <c r="B11" s="195"/>
      <c r="C11" s="196"/>
      <c r="D11" s="195"/>
      <c r="E11" s="197"/>
      <c r="F11" s="198"/>
      <c r="G11" s="197"/>
      <c r="H11" s="199" t="s">
        <v>439</v>
      </c>
      <c r="I11" s="200">
        <f>SUM(I9:I10)</f>
        <v>40.716</v>
      </c>
    </row>
    <row r="12" spans="1:9" ht="15.75" thickBot="1">
      <c r="A12" s="439" t="s">
        <v>490</v>
      </c>
      <c r="B12" s="440"/>
      <c r="C12" s="440"/>
      <c r="D12" s="440"/>
      <c r="E12" s="440"/>
      <c r="F12" s="440"/>
      <c r="G12" s="440"/>
      <c r="H12" s="440"/>
      <c r="I12" s="441"/>
    </row>
    <row r="13" spans="1:9" ht="60">
      <c r="A13" s="139" t="s">
        <v>524</v>
      </c>
      <c r="B13" s="162" t="s">
        <v>35</v>
      </c>
      <c r="C13" s="172"/>
      <c r="D13" s="164">
        <v>1</v>
      </c>
      <c r="E13" s="173"/>
      <c r="F13" s="173"/>
      <c r="G13" s="174">
        <v>0</v>
      </c>
      <c r="H13" s="187">
        <f>D49</f>
        <v>282.37</v>
      </c>
      <c r="I13" s="175">
        <f>D13*H13</f>
        <v>282.37</v>
      </c>
    </row>
    <row r="14" spans="1:9" ht="15">
      <c r="A14" s="144"/>
      <c r="B14" s="176"/>
      <c r="C14" s="176"/>
      <c r="D14" s="177"/>
      <c r="E14" s="177"/>
      <c r="F14" s="177"/>
      <c r="G14" s="178">
        <v>0</v>
      </c>
      <c r="H14" s="179"/>
      <c r="I14" s="180">
        <f>D14*H14</f>
        <v>0</v>
      </c>
    </row>
    <row r="15" spans="1:9" ht="30.75" thickBot="1">
      <c r="A15" s="181"/>
      <c r="B15" s="182"/>
      <c r="C15" s="183"/>
      <c r="D15" s="184"/>
      <c r="E15" s="184"/>
      <c r="F15" s="184"/>
      <c r="G15" s="184"/>
      <c r="H15" s="185" t="s">
        <v>439</v>
      </c>
      <c r="I15" s="186">
        <f>SUM(I13:I14)</f>
        <v>282.37</v>
      </c>
    </row>
    <row r="16" spans="1:9" ht="12.75">
      <c r="A16" s="442" t="s">
        <v>478</v>
      </c>
      <c r="B16" s="443"/>
      <c r="C16" s="443"/>
      <c r="D16" s="443"/>
      <c r="E16" s="443"/>
      <c r="F16" s="443"/>
      <c r="G16" s="443"/>
      <c r="H16" s="443"/>
      <c r="I16" s="444"/>
    </row>
    <row r="17" spans="1:9" ht="15">
      <c r="A17" s="144" t="s">
        <v>485</v>
      </c>
      <c r="B17" s="167" t="s">
        <v>35</v>
      </c>
      <c r="C17" s="168" t="s">
        <v>488</v>
      </c>
      <c r="D17" s="169">
        <v>1</v>
      </c>
      <c r="E17" s="169"/>
      <c r="F17" s="169">
        <v>26.67</v>
      </c>
      <c r="G17" s="170">
        <v>0</v>
      </c>
      <c r="H17" s="169">
        <f>F17</f>
        <v>26.67</v>
      </c>
      <c r="I17" s="171">
        <f>D17*H17</f>
        <v>26.67</v>
      </c>
    </row>
    <row r="18" spans="1:9" ht="15">
      <c r="A18" s="144" t="s">
        <v>486</v>
      </c>
      <c r="B18" s="167" t="s">
        <v>35</v>
      </c>
      <c r="C18" s="168" t="s">
        <v>487</v>
      </c>
      <c r="D18" s="169">
        <v>1</v>
      </c>
      <c r="E18" s="169"/>
      <c r="F18" s="169">
        <v>16.22</v>
      </c>
      <c r="G18" s="170">
        <v>0</v>
      </c>
      <c r="H18" s="169">
        <f>F18</f>
        <v>16.22</v>
      </c>
      <c r="I18" s="171">
        <f>D18*H18</f>
        <v>16.22</v>
      </c>
    </row>
    <row r="19" spans="1:9" ht="13.5" thickBot="1">
      <c r="A19" s="133"/>
      <c r="B19" s="134"/>
      <c r="C19" s="134"/>
      <c r="D19" s="140"/>
      <c r="E19" s="141"/>
      <c r="F19" s="141"/>
      <c r="G19" s="141"/>
      <c r="H19" s="142" t="s">
        <v>439</v>
      </c>
      <c r="I19" s="143">
        <f>SUM(I17:I18)</f>
        <v>42.89</v>
      </c>
    </row>
    <row r="20" spans="1:9" ht="13.5" thickBot="1">
      <c r="A20" s="442" t="s">
        <v>479</v>
      </c>
      <c r="B20" s="443"/>
      <c r="C20" s="443"/>
      <c r="D20" s="443"/>
      <c r="E20" s="443"/>
      <c r="F20" s="443"/>
      <c r="G20" s="443"/>
      <c r="H20" s="443"/>
      <c r="I20" s="444"/>
    </row>
    <row r="21" spans="1:9" ht="12.75">
      <c r="A21" s="130"/>
      <c r="B21" s="121"/>
      <c r="C21" s="122"/>
      <c r="D21" s="123"/>
      <c r="E21" s="124"/>
      <c r="F21" s="125"/>
      <c r="G21" s="124"/>
      <c r="H21" s="125"/>
      <c r="I21" s="126">
        <f>D21*F21</f>
        <v>0</v>
      </c>
    </row>
    <row r="22" spans="1:9" ht="12.75">
      <c r="A22" s="131"/>
      <c r="B22" s="118"/>
      <c r="C22" s="128"/>
      <c r="D22" s="129"/>
      <c r="E22" s="119"/>
      <c r="F22" s="120"/>
      <c r="G22" s="119"/>
      <c r="H22" s="120"/>
      <c r="I22" s="132">
        <f>D22*F22</f>
        <v>0</v>
      </c>
    </row>
    <row r="23" spans="1:9" ht="13.5" thickBot="1">
      <c r="A23" s="133"/>
      <c r="B23" s="134"/>
      <c r="C23" s="134"/>
      <c r="D23" s="135"/>
      <c r="E23" s="136"/>
      <c r="F23" s="136"/>
      <c r="G23" s="136"/>
      <c r="H23" s="137" t="s">
        <v>439</v>
      </c>
      <c r="I23" s="138">
        <f>I21+I22</f>
        <v>0</v>
      </c>
    </row>
    <row r="24" spans="1:9" ht="13.5" thickBot="1">
      <c r="A24" s="127"/>
      <c r="B24" s="127"/>
      <c r="C24" s="127"/>
      <c r="D24" s="127"/>
      <c r="E24" s="127"/>
      <c r="F24" s="127"/>
      <c r="G24" s="127"/>
      <c r="H24" s="127"/>
      <c r="I24" s="127"/>
    </row>
    <row r="25" spans="1:9" ht="15">
      <c r="A25" s="145" t="s">
        <v>461</v>
      </c>
      <c r="B25" s="146"/>
      <c r="C25" s="147"/>
      <c r="D25" s="127"/>
      <c r="E25" s="127"/>
      <c r="F25" s="127"/>
      <c r="G25" s="127"/>
      <c r="H25" s="127"/>
      <c r="I25" s="127"/>
    </row>
    <row r="26" spans="1:9" ht="30">
      <c r="A26" s="148" t="s">
        <v>462</v>
      </c>
      <c r="B26" s="149" t="s">
        <v>463</v>
      </c>
      <c r="C26" s="150" t="s">
        <v>464</v>
      </c>
      <c r="D26" s="127"/>
      <c r="E26" s="127"/>
      <c r="F26" s="127"/>
      <c r="G26" s="127"/>
      <c r="H26" s="127"/>
      <c r="I26" s="127"/>
    </row>
    <row r="27" spans="1:9" ht="15">
      <c r="A27" s="148" t="s">
        <v>465</v>
      </c>
      <c r="B27" s="160">
        <v>134.67</v>
      </c>
      <c r="C27" s="157">
        <f>I11</f>
        <v>40.716</v>
      </c>
      <c r="D27" s="127"/>
      <c r="E27" s="127"/>
      <c r="F27" s="127"/>
      <c r="G27" s="127"/>
      <c r="H27" s="127"/>
      <c r="I27" s="127"/>
    </row>
    <row r="28" spans="1:9" ht="15">
      <c r="A28" s="148" t="s">
        <v>466</v>
      </c>
      <c r="B28" s="160"/>
      <c r="C28" s="157">
        <f>I15</f>
        <v>282.37</v>
      </c>
      <c r="D28" s="127"/>
      <c r="E28" s="127"/>
      <c r="F28" s="127"/>
      <c r="G28" s="127"/>
      <c r="H28" s="127"/>
      <c r="I28" s="127"/>
    </row>
    <row r="29" spans="1:9" ht="15">
      <c r="A29" s="148" t="s">
        <v>467</v>
      </c>
      <c r="B29" s="160"/>
      <c r="C29" s="157">
        <f>I23</f>
        <v>0</v>
      </c>
      <c r="D29" s="127"/>
      <c r="E29" s="127"/>
      <c r="F29" s="127"/>
      <c r="G29" s="127"/>
      <c r="H29" s="127"/>
      <c r="I29" s="127"/>
    </row>
    <row r="30" spans="1:9" ht="15">
      <c r="A30" s="148" t="s">
        <v>468</v>
      </c>
      <c r="B30" s="160"/>
      <c r="C30" s="157">
        <f>I19</f>
        <v>42.89</v>
      </c>
      <c r="D30" s="127"/>
      <c r="E30" s="127"/>
      <c r="F30" s="127"/>
      <c r="G30" s="127"/>
      <c r="H30" s="127"/>
      <c r="I30" s="127"/>
    </row>
    <row r="31" spans="1:9" ht="15">
      <c r="A31" s="148" t="s">
        <v>469</v>
      </c>
      <c r="B31" s="160"/>
      <c r="C31" s="158">
        <v>1</v>
      </c>
      <c r="D31" s="127"/>
      <c r="E31" s="127"/>
      <c r="F31" s="127"/>
      <c r="G31" s="127"/>
      <c r="H31" s="127"/>
      <c r="I31" s="127"/>
    </row>
    <row r="32" spans="1:9" ht="15">
      <c r="A32" s="148" t="s">
        <v>470</v>
      </c>
      <c r="B32" s="160"/>
      <c r="C32" s="157">
        <f>C27+C30</f>
        <v>83.606</v>
      </c>
      <c r="D32" s="127"/>
      <c r="E32" s="127"/>
      <c r="F32" s="127"/>
      <c r="G32" s="127"/>
      <c r="H32" s="127"/>
      <c r="I32" s="127"/>
    </row>
    <row r="33" spans="1:9" ht="30">
      <c r="A33" s="152" t="s">
        <v>471</v>
      </c>
      <c r="B33" s="160"/>
      <c r="C33" s="157">
        <f>C27+(C30/C31)</f>
        <v>83.606</v>
      </c>
      <c r="D33" s="127"/>
      <c r="E33" s="127"/>
      <c r="F33" s="127"/>
      <c r="G33" s="127"/>
      <c r="H33" s="127"/>
      <c r="I33" s="127"/>
    </row>
    <row r="34" spans="1:9" ht="15">
      <c r="A34" s="148" t="s">
        <v>472</v>
      </c>
      <c r="B34" s="160"/>
      <c r="C34" s="157">
        <f>C28+C33</f>
        <v>365.976</v>
      </c>
      <c r="D34" s="127"/>
      <c r="E34" s="127"/>
      <c r="F34" s="127"/>
      <c r="G34" s="127"/>
      <c r="H34" s="127"/>
      <c r="I34" s="127"/>
    </row>
    <row r="35" spans="1:9" ht="15">
      <c r="A35" s="153" t="s">
        <v>473</v>
      </c>
      <c r="B35" s="161">
        <v>30.9</v>
      </c>
      <c r="C35" s="159">
        <f>C34*0.309</f>
        <v>113.086584</v>
      </c>
      <c r="D35" s="127"/>
      <c r="E35" s="127"/>
      <c r="F35" s="127"/>
      <c r="G35" s="127"/>
      <c r="H35" s="127"/>
      <c r="I35" s="127"/>
    </row>
    <row r="36" spans="1:9" ht="15">
      <c r="A36" s="148" t="s">
        <v>474</v>
      </c>
      <c r="B36" s="151"/>
      <c r="C36" s="159">
        <f>C34*1.309</f>
        <v>479.06258399999996</v>
      </c>
      <c r="D36" s="127"/>
      <c r="E36" s="127"/>
      <c r="F36" s="127"/>
      <c r="G36" s="127"/>
      <c r="H36" s="127"/>
      <c r="I36" s="127"/>
    </row>
    <row r="37" spans="1:9" ht="15.75" thickBot="1">
      <c r="A37" s="154" t="s">
        <v>475</v>
      </c>
      <c r="B37" s="155"/>
      <c r="C37" s="156">
        <f>C36</f>
        <v>479.06258399999996</v>
      </c>
      <c r="D37" s="127"/>
      <c r="E37" s="127"/>
      <c r="F37" s="127"/>
      <c r="G37" s="127"/>
      <c r="H37" s="127"/>
      <c r="I37" s="127"/>
    </row>
    <row r="38" spans="1:9" ht="13.5" thickBot="1">
      <c r="A38" s="445"/>
      <c r="B38" s="445"/>
      <c r="C38" s="445"/>
      <c r="D38" s="445"/>
      <c r="E38" s="445"/>
      <c r="F38" s="445"/>
      <c r="G38" s="445"/>
      <c r="H38" s="445"/>
      <c r="I38" s="445"/>
    </row>
    <row r="39" spans="1:9" ht="12.75">
      <c r="A39" s="448" t="s">
        <v>476</v>
      </c>
      <c r="B39" s="449"/>
      <c r="C39" s="449"/>
      <c r="D39" s="449"/>
      <c r="E39" s="449"/>
      <c r="F39" s="449"/>
      <c r="G39" s="449"/>
      <c r="H39" s="449"/>
      <c r="I39" s="450"/>
    </row>
    <row r="40" spans="1:9" ht="13.5" thickBot="1">
      <c r="A40" s="451" t="s">
        <v>817</v>
      </c>
      <c r="B40" s="452"/>
      <c r="C40" s="452"/>
      <c r="D40" s="452"/>
      <c r="E40" s="452"/>
      <c r="F40" s="452"/>
      <c r="G40" s="452"/>
      <c r="H40" s="452"/>
      <c r="I40" s="453"/>
    </row>
    <row r="43" spans="1:7" ht="12.75">
      <c r="A43" s="446" t="s">
        <v>553</v>
      </c>
      <c r="B43" s="446"/>
      <c r="C43" s="446"/>
      <c r="D43" s="446"/>
      <c r="E43" s="446"/>
      <c r="F43" s="446"/>
      <c r="G43" s="446"/>
    </row>
    <row r="44" spans="2:5" ht="12.75">
      <c r="B44" s="447" t="s">
        <v>554</v>
      </c>
      <c r="C44" s="447"/>
      <c r="D44" s="447"/>
      <c r="E44" s="447"/>
    </row>
    <row r="45" spans="2:5" ht="12.75">
      <c r="B45" s="447" t="s">
        <v>555</v>
      </c>
      <c r="C45" s="447"/>
      <c r="D45" s="447" t="s">
        <v>556</v>
      </c>
      <c r="E45" s="447"/>
    </row>
    <row r="46" spans="2:5" ht="12.75">
      <c r="B46" s="473" t="s">
        <v>558</v>
      </c>
      <c r="C46" s="473"/>
      <c r="D46" s="474">
        <f>256.7*1.1</f>
        <v>282.37</v>
      </c>
      <c r="E46" s="474"/>
    </row>
    <row r="47" spans="2:5" ht="12.75">
      <c r="B47" s="473"/>
      <c r="C47" s="473"/>
      <c r="D47" s="474"/>
      <c r="E47" s="474"/>
    </row>
    <row r="48" spans="2:5" ht="12.75">
      <c r="B48" s="473"/>
      <c r="C48" s="473"/>
      <c r="D48" s="474"/>
      <c r="E48" s="474"/>
    </row>
    <row r="49" spans="2:5" ht="12.75">
      <c r="B49" s="471" t="s">
        <v>557</v>
      </c>
      <c r="C49" s="471"/>
      <c r="D49" s="472">
        <f>(D46+D47+D48)/1</f>
        <v>282.37</v>
      </c>
      <c r="E49" s="472"/>
    </row>
  </sheetData>
  <sheetProtection/>
  <mergeCells count="32">
    <mergeCell ref="B49:C49"/>
    <mergeCell ref="D49:E49"/>
    <mergeCell ref="B46:C46"/>
    <mergeCell ref="D46:E46"/>
    <mergeCell ref="B47:C47"/>
    <mergeCell ref="D47:E47"/>
    <mergeCell ref="B48:C48"/>
    <mergeCell ref="D48:E48"/>
    <mergeCell ref="B45:C45"/>
    <mergeCell ref="D45:E45"/>
    <mergeCell ref="A1:I1"/>
    <mergeCell ref="B2:I2"/>
    <mergeCell ref="B3:I3"/>
    <mergeCell ref="B4:I4"/>
    <mergeCell ref="B5:I5"/>
    <mergeCell ref="A6:A7"/>
    <mergeCell ref="D6:E6"/>
    <mergeCell ref="F6:F7"/>
    <mergeCell ref="A20:I20"/>
    <mergeCell ref="A38:I38"/>
    <mergeCell ref="A43:G43"/>
    <mergeCell ref="B44:E44"/>
    <mergeCell ref="A39:I39"/>
    <mergeCell ref="A40:I40"/>
    <mergeCell ref="G6:G7"/>
    <mergeCell ref="H6:H7"/>
    <mergeCell ref="I6:I7"/>
    <mergeCell ref="A8:I8"/>
    <mergeCell ref="A12:I12"/>
    <mergeCell ref="A16:I16"/>
    <mergeCell ref="B6:B7"/>
    <mergeCell ref="C6:C7"/>
  </mergeCells>
  <printOptions/>
  <pageMargins left="0.511811024" right="0.511811024" top="0.787401575" bottom="0.787401575" header="0.31496062" footer="0.31496062"/>
  <pageSetup horizontalDpi="600" verticalDpi="600" orientation="portrait" paperSize="9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85" zoomScaleSheetLayoutView="85" zoomScalePageLayoutView="0" workbookViewId="0" topLeftCell="A1">
      <selection activeCell="B2" sqref="B2:I2"/>
    </sheetView>
  </sheetViews>
  <sheetFormatPr defaultColWidth="9.140625" defaultRowHeight="12.75"/>
  <cols>
    <col min="1" max="1" width="47.00390625" style="0" customWidth="1"/>
    <col min="2" max="2" width="11.00390625" style="0" customWidth="1"/>
    <col min="3" max="3" width="13.00390625" style="0" customWidth="1"/>
    <col min="6" max="6" width="12.421875" style="0" customWidth="1"/>
    <col min="7" max="7" width="12.7109375" style="0" customWidth="1"/>
    <col min="8" max="8" width="11.00390625" style="0" customWidth="1"/>
    <col min="9" max="9" width="12.28125" style="0" customWidth="1"/>
  </cols>
  <sheetData>
    <row r="1" spans="1:9" ht="15.75" thickBot="1">
      <c r="A1" s="475" t="s">
        <v>427</v>
      </c>
      <c r="B1" s="476"/>
      <c r="C1" s="476"/>
      <c r="D1" s="476"/>
      <c r="E1" s="476"/>
      <c r="F1" s="476"/>
      <c r="G1" s="476"/>
      <c r="H1" s="476"/>
      <c r="I1" s="477"/>
    </row>
    <row r="2" spans="1:9" ht="15" customHeight="1">
      <c r="A2" s="202" t="s">
        <v>428</v>
      </c>
      <c r="B2" s="457" t="s">
        <v>819</v>
      </c>
      <c r="C2" s="457"/>
      <c r="D2" s="457"/>
      <c r="E2" s="457"/>
      <c r="F2" s="457"/>
      <c r="G2" s="457"/>
      <c r="H2" s="457"/>
      <c r="I2" s="458"/>
    </row>
    <row r="3" spans="1:9" ht="15">
      <c r="A3" s="203" t="s">
        <v>287</v>
      </c>
      <c r="B3" s="459" t="s">
        <v>429</v>
      </c>
      <c r="C3" s="460"/>
      <c r="D3" s="460"/>
      <c r="E3" s="460"/>
      <c r="F3" s="460"/>
      <c r="G3" s="460"/>
      <c r="H3" s="460"/>
      <c r="I3" s="461"/>
    </row>
    <row r="4" spans="1:9" ht="15.75">
      <c r="A4" s="203" t="s">
        <v>430</v>
      </c>
      <c r="B4" s="478" t="s">
        <v>481</v>
      </c>
      <c r="C4" s="479"/>
      <c r="D4" s="479"/>
      <c r="E4" s="479"/>
      <c r="F4" s="479"/>
      <c r="G4" s="479"/>
      <c r="H4" s="479"/>
      <c r="I4" s="480"/>
    </row>
    <row r="5" spans="1:9" ht="15.75" thickBot="1">
      <c r="A5" s="204" t="s">
        <v>431</v>
      </c>
      <c r="B5" s="465" t="s">
        <v>432</v>
      </c>
      <c r="C5" s="466"/>
      <c r="D5" s="466"/>
      <c r="E5" s="466"/>
      <c r="F5" s="466"/>
      <c r="G5" s="466"/>
      <c r="H5" s="466"/>
      <c r="I5" s="467"/>
    </row>
    <row r="6" spans="1:9" ht="15">
      <c r="A6" s="468" t="s">
        <v>433</v>
      </c>
      <c r="B6" s="435" t="s">
        <v>434</v>
      </c>
      <c r="C6" s="435" t="s">
        <v>435</v>
      </c>
      <c r="D6" s="470"/>
      <c r="E6" s="470"/>
      <c r="F6" s="435" t="s">
        <v>436</v>
      </c>
      <c r="G6" s="435" t="s">
        <v>437</v>
      </c>
      <c r="H6" s="435" t="s">
        <v>438</v>
      </c>
      <c r="I6" s="437" t="s">
        <v>439</v>
      </c>
    </row>
    <row r="7" spans="1:9" ht="30.75" thickBot="1">
      <c r="A7" s="469"/>
      <c r="B7" s="436"/>
      <c r="C7" s="436"/>
      <c r="D7" s="201" t="s">
        <v>440</v>
      </c>
      <c r="E7" s="201" t="s">
        <v>441</v>
      </c>
      <c r="F7" s="436"/>
      <c r="G7" s="436"/>
      <c r="H7" s="436"/>
      <c r="I7" s="438"/>
    </row>
    <row r="8" spans="1:9" ht="15.75" thickBot="1">
      <c r="A8" s="491" t="s">
        <v>492</v>
      </c>
      <c r="B8" s="492"/>
      <c r="C8" s="492"/>
      <c r="D8" s="492"/>
      <c r="E8" s="492"/>
      <c r="F8" s="492"/>
      <c r="G8" s="492"/>
      <c r="H8" s="492"/>
      <c r="I8" s="493"/>
    </row>
    <row r="9" spans="1:9" ht="15">
      <c r="A9" s="188" t="s">
        <v>443</v>
      </c>
      <c r="B9" s="189" t="s">
        <v>444</v>
      </c>
      <c r="C9" s="190" t="s">
        <v>482</v>
      </c>
      <c r="D9" s="191">
        <v>1.3</v>
      </c>
      <c r="E9" s="191">
        <v>1</v>
      </c>
      <c r="F9" s="192">
        <v>4.67</v>
      </c>
      <c r="G9" s="193"/>
      <c r="H9" s="192">
        <v>10.97</v>
      </c>
      <c r="I9" s="180">
        <f>D9*H9</f>
        <v>14.261000000000001</v>
      </c>
    </row>
    <row r="10" spans="1:9" ht="15">
      <c r="A10" s="205" t="s">
        <v>445</v>
      </c>
      <c r="B10" s="189" t="s">
        <v>444</v>
      </c>
      <c r="C10" s="190" t="s">
        <v>493</v>
      </c>
      <c r="D10" s="191">
        <v>3.3</v>
      </c>
      <c r="E10" s="191">
        <v>1</v>
      </c>
      <c r="F10" s="192">
        <v>5.54</v>
      </c>
      <c r="G10" s="193"/>
      <c r="H10" s="192">
        <v>13.01</v>
      </c>
      <c r="I10" s="180">
        <f>D10*H10</f>
        <v>42.933</v>
      </c>
    </row>
    <row r="11" spans="1:9" ht="15">
      <c r="A11" s="194" t="s">
        <v>446</v>
      </c>
      <c r="B11" s="189" t="s">
        <v>444</v>
      </c>
      <c r="C11" s="190" t="s">
        <v>483</v>
      </c>
      <c r="D11" s="191">
        <v>4.4</v>
      </c>
      <c r="E11" s="191">
        <v>1</v>
      </c>
      <c r="F11" s="192">
        <v>5.54</v>
      </c>
      <c r="G11" s="160"/>
      <c r="H11" s="192">
        <v>13.01</v>
      </c>
      <c r="I11" s="180">
        <f>D11*H11</f>
        <v>57.24400000000001</v>
      </c>
    </row>
    <row r="12" spans="1:9" ht="15">
      <c r="A12" s="194" t="s">
        <v>447</v>
      </c>
      <c r="B12" s="189" t="s">
        <v>444</v>
      </c>
      <c r="C12" s="190" t="s">
        <v>494</v>
      </c>
      <c r="D12" s="191">
        <v>28</v>
      </c>
      <c r="E12" s="191">
        <v>1</v>
      </c>
      <c r="F12" s="192">
        <v>4.07</v>
      </c>
      <c r="G12" s="160"/>
      <c r="H12" s="192">
        <v>9.56</v>
      </c>
      <c r="I12" s="180">
        <f>D12*H12</f>
        <v>267.68</v>
      </c>
    </row>
    <row r="13" spans="1:9" ht="30.75" thickBot="1">
      <c r="A13" s="194"/>
      <c r="B13" s="195"/>
      <c r="C13" s="196"/>
      <c r="D13" s="195"/>
      <c r="E13" s="197"/>
      <c r="F13" s="198"/>
      <c r="G13" s="197"/>
      <c r="H13" s="199" t="s">
        <v>439</v>
      </c>
      <c r="I13" s="200">
        <f>SUM(I9:I12)</f>
        <v>382.11800000000005</v>
      </c>
    </row>
    <row r="14" spans="1:9" ht="15.75" thickBot="1">
      <c r="A14" s="439" t="s">
        <v>490</v>
      </c>
      <c r="B14" s="440"/>
      <c r="C14" s="440"/>
      <c r="D14" s="440"/>
      <c r="E14" s="440"/>
      <c r="F14" s="440"/>
      <c r="G14" s="440"/>
      <c r="H14" s="440"/>
      <c r="I14" s="441"/>
    </row>
    <row r="15" spans="1:9" ht="15">
      <c r="A15" s="139" t="s">
        <v>448</v>
      </c>
      <c r="B15" s="172" t="s">
        <v>460</v>
      </c>
      <c r="C15" s="190" t="s">
        <v>495</v>
      </c>
      <c r="D15" s="218">
        <v>0.125</v>
      </c>
      <c r="E15" s="218">
        <v>1</v>
      </c>
      <c r="F15" s="218">
        <v>60</v>
      </c>
      <c r="G15" s="212"/>
      <c r="H15" s="218">
        <v>60</v>
      </c>
      <c r="I15" s="213">
        <f>D15*H15</f>
        <v>7.5</v>
      </c>
    </row>
    <row r="16" spans="1:9" ht="15">
      <c r="A16" s="144" t="s">
        <v>449</v>
      </c>
      <c r="B16" s="176" t="s">
        <v>179</v>
      </c>
      <c r="C16" s="190" t="s">
        <v>496</v>
      </c>
      <c r="D16" s="219">
        <v>25</v>
      </c>
      <c r="E16" s="219">
        <v>1</v>
      </c>
      <c r="F16" s="219">
        <v>0.36</v>
      </c>
      <c r="G16" s="221"/>
      <c r="H16" s="219">
        <v>0.36</v>
      </c>
      <c r="I16" s="157">
        <f aca="true" t="shared" si="0" ref="I16:I25">D16*H16</f>
        <v>9</v>
      </c>
    </row>
    <row r="17" spans="1:9" ht="15">
      <c r="A17" s="144" t="s">
        <v>450</v>
      </c>
      <c r="B17" s="176" t="s">
        <v>460</v>
      </c>
      <c r="C17" s="190" t="s">
        <v>497</v>
      </c>
      <c r="D17" s="219">
        <v>0.125</v>
      </c>
      <c r="E17" s="219">
        <v>1</v>
      </c>
      <c r="F17" s="219">
        <v>61.15</v>
      </c>
      <c r="G17" s="221"/>
      <c r="H17" s="219">
        <v>61.15</v>
      </c>
      <c r="I17" s="157">
        <f t="shared" si="0"/>
        <v>7.64375</v>
      </c>
    </row>
    <row r="18" spans="1:9" ht="30">
      <c r="A18" s="144" t="s">
        <v>451</v>
      </c>
      <c r="B18" s="322" t="s">
        <v>35</v>
      </c>
      <c r="C18" s="236" t="s">
        <v>498</v>
      </c>
      <c r="D18" s="234">
        <v>1</v>
      </c>
      <c r="E18" s="234">
        <v>1</v>
      </c>
      <c r="F18" s="321">
        <v>476.5</v>
      </c>
      <c r="G18" s="221"/>
      <c r="H18" s="234">
        <v>476.5</v>
      </c>
      <c r="I18" s="157">
        <f t="shared" si="0"/>
        <v>476.5</v>
      </c>
    </row>
    <row r="19" spans="1:9" ht="15">
      <c r="A19" s="144" t="s">
        <v>452</v>
      </c>
      <c r="B19" s="176" t="s">
        <v>35</v>
      </c>
      <c r="C19" s="190" t="s">
        <v>499</v>
      </c>
      <c r="D19" s="219">
        <v>1</v>
      </c>
      <c r="E19" s="219">
        <v>1</v>
      </c>
      <c r="F19" s="219">
        <v>578.54</v>
      </c>
      <c r="G19" s="221"/>
      <c r="H19" s="219">
        <v>578.54</v>
      </c>
      <c r="I19" s="157">
        <f t="shared" si="0"/>
        <v>578.54</v>
      </c>
    </row>
    <row r="20" spans="1:9" ht="16.5" customHeight="1">
      <c r="A20" s="144" t="s">
        <v>453</v>
      </c>
      <c r="B20" s="176" t="s">
        <v>21</v>
      </c>
      <c r="C20" s="190" t="s">
        <v>500</v>
      </c>
      <c r="D20" s="219">
        <v>11</v>
      </c>
      <c r="E20" s="219">
        <v>1</v>
      </c>
      <c r="F20" s="219">
        <v>1.44</v>
      </c>
      <c r="G20" s="221"/>
      <c r="H20" s="219">
        <v>1.44</v>
      </c>
      <c r="I20" s="157">
        <f t="shared" si="0"/>
        <v>15.84</v>
      </c>
    </row>
    <row r="21" spans="1:9" ht="15.75" customHeight="1">
      <c r="A21" s="144" t="s">
        <v>454</v>
      </c>
      <c r="B21" s="176" t="s">
        <v>21</v>
      </c>
      <c r="C21" s="190" t="s">
        <v>501</v>
      </c>
      <c r="D21" s="219">
        <v>22</v>
      </c>
      <c r="E21" s="219">
        <v>1</v>
      </c>
      <c r="F21" s="219">
        <v>2.06</v>
      </c>
      <c r="G21" s="221"/>
      <c r="H21" s="219">
        <v>2.06</v>
      </c>
      <c r="I21" s="157">
        <f t="shared" si="0"/>
        <v>45.32</v>
      </c>
    </row>
    <row r="22" spans="1:9" ht="30">
      <c r="A22" s="144" t="s">
        <v>455</v>
      </c>
      <c r="B22" s="176" t="s">
        <v>35</v>
      </c>
      <c r="C22" s="190" t="s">
        <v>502</v>
      </c>
      <c r="D22" s="219">
        <v>1</v>
      </c>
      <c r="E22" s="219">
        <v>1</v>
      </c>
      <c r="F22" s="219">
        <v>21.89</v>
      </c>
      <c r="G22" s="221"/>
      <c r="H22" s="219">
        <v>21.89</v>
      </c>
      <c r="I22" s="157">
        <f t="shared" si="0"/>
        <v>21.89</v>
      </c>
    </row>
    <row r="23" spans="1:9" ht="30">
      <c r="A23" s="144" t="s">
        <v>456</v>
      </c>
      <c r="B23" s="322" t="s">
        <v>35</v>
      </c>
      <c r="C23" s="236" t="s">
        <v>503</v>
      </c>
      <c r="D23" s="234">
        <v>1</v>
      </c>
      <c r="E23" s="234">
        <v>1</v>
      </c>
      <c r="F23" s="234">
        <v>45.86</v>
      </c>
      <c r="G23" s="221"/>
      <c r="H23" s="234">
        <v>45.86</v>
      </c>
      <c r="I23" s="157">
        <f t="shared" si="0"/>
        <v>45.86</v>
      </c>
    </row>
    <row r="24" spans="1:9" ht="30">
      <c r="A24" s="144" t="s">
        <v>457</v>
      </c>
      <c r="B24" s="176" t="s">
        <v>35</v>
      </c>
      <c r="C24" s="190" t="s">
        <v>504</v>
      </c>
      <c r="D24" s="219">
        <v>1</v>
      </c>
      <c r="E24" s="219">
        <v>1</v>
      </c>
      <c r="F24" s="219">
        <v>105.84</v>
      </c>
      <c r="G24" s="221"/>
      <c r="H24" s="219">
        <v>105.84</v>
      </c>
      <c r="I24" s="157">
        <f t="shared" si="0"/>
        <v>105.84</v>
      </c>
    </row>
    <row r="25" spans="1:9" ht="30">
      <c r="A25" s="144" t="s">
        <v>458</v>
      </c>
      <c r="B25" s="322" t="s">
        <v>35</v>
      </c>
      <c r="C25" s="236" t="s">
        <v>505</v>
      </c>
      <c r="D25" s="234">
        <v>1</v>
      </c>
      <c r="E25" s="234">
        <v>1</v>
      </c>
      <c r="F25" s="234">
        <v>93.94</v>
      </c>
      <c r="G25" s="221"/>
      <c r="H25" s="234">
        <v>93.94</v>
      </c>
      <c r="I25" s="157">
        <f t="shared" si="0"/>
        <v>93.94</v>
      </c>
    </row>
    <row r="26" spans="1:9" ht="30.75" thickBot="1">
      <c r="A26" s="181"/>
      <c r="B26" s="182"/>
      <c r="C26" s="183"/>
      <c r="D26" s="220"/>
      <c r="E26" s="220"/>
      <c r="F26" s="220"/>
      <c r="G26" s="220"/>
      <c r="H26" s="222" t="s">
        <v>439</v>
      </c>
      <c r="I26" s="223">
        <f>SUM(I15:I25)</f>
        <v>1407.8737499999997</v>
      </c>
    </row>
    <row r="27" spans="1:9" ht="15.75" thickBot="1">
      <c r="A27" s="481" t="s">
        <v>478</v>
      </c>
      <c r="B27" s="482"/>
      <c r="C27" s="482"/>
      <c r="D27" s="482"/>
      <c r="E27" s="482"/>
      <c r="F27" s="482"/>
      <c r="G27" s="482"/>
      <c r="H27" s="482"/>
      <c r="I27" s="483"/>
    </row>
    <row r="28" spans="1:9" ht="30">
      <c r="A28" s="139" t="s">
        <v>459</v>
      </c>
      <c r="B28" s="162" t="s">
        <v>444</v>
      </c>
      <c r="C28" s="162" t="s">
        <v>480</v>
      </c>
      <c r="D28" s="187">
        <v>4</v>
      </c>
      <c r="E28" s="187">
        <v>0.5</v>
      </c>
      <c r="F28" s="187">
        <v>104.35</v>
      </c>
      <c r="G28" s="225"/>
      <c r="H28" s="187">
        <f>F28*E28</f>
        <v>52.175</v>
      </c>
      <c r="I28" s="206">
        <f>D28*H28</f>
        <v>208.7</v>
      </c>
    </row>
    <row r="29" spans="1:9" ht="30.75" thickBot="1">
      <c r="A29" s="207"/>
      <c r="B29" s="208"/>
      <c r="C29" s="208"/>
      <c r="D29" s="226"/>
      <c r="E29" s="226"/>
      <c r="F29" s="226"/>
      <c r="G29" s="226"/>
      <c r="H29" s="222" t="s">
        <v>439</v>
      </c>
      <c r="I29" s="209">
        <f>I28</f>
        <v>208.7</v>
      </c>
    </row>
    <row r="30" spans="1:9" ht="15.75" thickBot="1">
      <c r="A30" s="481" t="s">
        <v>479</v>
      </c>
      <c r="B30" s="482"/>
      <c r="C30" s="482"/>
      <c r="D30" s="482"/>
      <c r="E30" s="482"/>
      <c r="F30" s="482"/>
      <c r="G30" s="482"/>
      <c r="H30" s="482"/>
      <c r="I30" s="483"/>
    </row>
    <row r="31" spans="1:9" ht="15">
      <c r="A31" s="210"/>
      <c r="B31" s="211"/>
      <c r="C31" s="224"/>
      <c r="D31" s="212"/>
      <c r="E31" s="212"/>
      <c r="F31" s="212"/>
      <c r="G31" s="212"/>
      <c r="H31" s="212"/>
      <c r="I31" s="213">
        <f>D31*F31</f>
        <v>0</v>
      </c>
    </row>
    <row r="32" spans="1:9" ht="15">
      <c r="A32" s="214"/>
      <c r="B32" s="189"/>
      <c r="C32" s="190"/>
      <c r="D32" s="215"/>
      <c r="E32" s="215"/>
      <c r="F32" s="215"/>
      <c r="G32" s="215"/>
      <c r="H32" s="215"/>
      <c r="I32" s="157">
        <f>D32*F32</f>
        <v>0</v>
      </c>
    </row>
    <row r="33" spans="1:9" ht="30.75" thickBot="1">
      <c r="A33" s="207"/>
      <c r="B33" s="208"/>
      <c r="C33" s="208"/>
      <c r="D33" s="227"/>
      <c r="E33" s="227"/>
      <c r="F33" s="227"/>
      <c r="G33" s="227"/>
      <c r="H33" s="228" t="s">
        <v>439</v>
      </c>
      <c r="I33" s="216">
        <f>I31+I32</f>
        <v>0</v>
      </c>
    </row>
    <row r="34" spans="1:9" ht="15.75" thickBot="1">
      <c r="A34" s="217"/>
      <c r="B34" s="217"/>
      <c r="C34" s="217"/>
      <c r="D34" s="217"/>
      <c r="E34" s="217"/>
      <c r="F34" s="217"/>
      <c r="G34" s="217"/>
      <c r="H34" s="217"/>
      <c r="I34" s="217"/>
    </row>
    <row r="35" spans="1:9" ht="15">
      <c r="A35" s="145" t="s">
        <v>461</v>
      </c>
      <c r="B35" s="146"/>
      <c r="C35" s="147"/>
      <c r="D35" s="217"/>
      <c r="E35" s="217"/>
      <c r="F35" s="217"/>
      <c r="G35" s="217"/>
      <c r="H35" s="217"/>
      <c r="I35" s="217"/>
    </row>
    <row r="36" spans="1:9" ht="30">
      <c r="A36" s="148" t="s">
        <v>462</v>
      </c>
      <c r="B36" s="149" t="s">
        <v>463</v>
      </c>
      <c r="C36" s="150" t="s">
        <v>464</v>
      </c>
      <c r="D36" s="217"/>
      <c r="E36" s="217"/>
      <c r="F36" s="217"/>
      <c r="G36" s="217"/>
      <c r="H36" s="217"/>
      <c r="I36" s="217"/>
    </row>
    <row r="37" spans="1:9" ht="15">
      <c r="A37" s="148" t="s">
        <v>465</v>
      </c>
      <c r="B37" s="160">
        <v>134.67</v>
      </c>
      <c r="C37" s="180">
        <f>I13</f>
        <v>382.11800000000005</v>
      </c>
      <c r="D37" s="217"/>
      <c r="E37" s="217"/>
      <c r="F37" s="217"/>
      <c r="G37" s="217"/>
      <c r="H37" s="217"/>
      <c r="I37" s="217"/>
    </row>
    <row r="38" spans="1:9" ht="15">
      <c r="A38" s="148" t="s">
        <v>466</v>
      </c>
      <c r="B38" s="160"/>
      <c r="C38" s="180">
        <f>I26</f>
        <v>1407.8737499999997</v>
      </c>
      <c r="D38" s="217"/>
      <c r="E38" s="217"/>
      <c r="F38" s="217"/>
      <c r="G38" s="217"/>
      <c r="H38" s="217"/>
      <c r="I38" s="217"/>
    </row>
    <row r="39" spans="1:9" ht="15">
      <c r="A39" s="148" t="s">
        <v>467</v>
      </c>
      <c r="B39" s="160"/>
      <c r="C39" s="180">
        <f>I33</f>
        <v>0</v>
      </c>
      <c r="D39" s="217"/>
      <c r="E39" s="217"/>
      <c r="F39" s="217"/>
      <c r="G39" s="217"/>
      <c r="H39" s="217"/>
      <c r="I39" s="217"/>
    </row>
    <row r="40" spans="1:9" ht="15">
      <c r="A40" s="148" t="s">
        <v>468</v>
      </c>
      <c r="B40" s="160"/>
      <c r="C40" s="232">
        <f>I29</f>
        <v>208.7</v>
      </c>
      <c r="D40" s="217"/>
      <c r="E40" s="217"/>
      <c r="F40" s="217"/>
      <c r="G40" s="217"/>
      <c r="H40" s="217"/>
      <c r="I40" s="217"/>
    </row>
    <row r="41" spans="1:9" ht="15">
      <c r="A41" s="148" t="s">
        <v>469</v>
      </c>
      <c r="B41" s="160"/>
      <c r="C41" s="180">
        <v>1</v>
      </c>
      <c r="D41" s="217"/>
      <c r="E41" s="217"/>
      <c r="F41" s="217"/>
      <c r="G41" s="217"/>
      <c r="H41" s="217"/>
      <c r="I41" s="217"/>
    </row>
    <row r="42" spans="1:9" ht="15">
      <c r="A42" s="148" t="s">
        <v>470</v>
      </c>
      <c r="B42" s="160"/>
      <c r="C42" s="180">
        <f>C37+C40</f>
        <v>590.818</v>
      </c>
      <c r="D42" s="217"/>
      <c r="E42" s="217"/>
      <c r="F42" s="217"/>
      <c r="G42" s="217"/>
      <c r="H42" s="217"/>
      <c r="I42" s="217"/>
    </row>
    <row r="43" spans="1:9" ht="15">
      <c r="A43" s="152" t="s">
        <v>471</v>
      </c>
      <c r="B43" s="160"/>
      <c r="C43" s="180">
        <f>C37+(C40/C41)</f>
        <v>590.818</v>
      </c>
      <c r="D43" s="217"/>
      <c r="E43" s="217"/>
      <c r="F43" s="217"/>
      <c r="G43" s="217"/>
      <c r="H43" s="217"/>
      <c r="I43" s="217"/>
    </row>
    <row r="44" spans="1:9" ht="15">
      <c r="A44" s="148" t="s">
        <v>472</v>
      </c>
      <c r="B44" s="160"/>
      <c r="C44" s="180">
        <f>C37+C38+C39+C40</f>
        <v>1998.6917499999997</v>
      </c>
      <c r="D44" s="217"/>
      <c r="E44" s="217"/>
      <c r="F44" s="217"/>
      <c r="G44" s="217"/>
      <c r="H44" s="217"/>
      <c r="I44" s="217"/>
    </row>
    <row r="45" spans="1:9" ht="15">
      <c r="A45" s="153" t="s">
        <v>473</v>
      </c>
      <c r="B45" s="161">
        <v>30.9</v>
      </c>
      <c r="C45" s="233">
        <f>C44*0.309</f>
        <v>617.5957507499999</v>
      </c>
      <c r="D45" s="217"/>
      <c r="E45" s="217"/>
      <c r="F45" s="217"/>
      <c r="G45" s="217"/>
      <c r="H45" s="217"/>
      <c r="I45" s="217"/>
    </row>
    <row r="46" spans="1:9" ht="15">
      <c r="A46" s="148" t="s">
        <v>474</v>
      </c>
      <c r="B46" s="160"/>
      <c r="C46" s="233">
        <f>C44*1.309</f>
        <v>2616.2875007499997</v>
      </c>
      <c r="D46" s="217"/>
      <c r="E46" s="217"/>
      <c r="F46" s="217"/>
      <c r="G46" s="217"/>
      <c r="H46" s="217"/>
      <c r="I46" s="217"/>
    </row>
    <row r="47" spans="1:9" ht="15.75" thickBot="1">
      <c r="A47" s="154" t="s">
        <v>475</v>
      </c>
      <c r="B47" s="155"/>
      <c r="C47" s="229">
        <f>C46</f>
        <v>2616.2875007499997</v>
      </c>
      <c r="D47" s="217"/>
      <c r="E47" s="217"/>
      <c r="F47" s="217"/>
      <c r="G47" s="217"/>
      <c r="H47" s="217"/>
      <c r="I47" s="217"/>
    </row>
    <row r="48" spans="1:9" ht="15.75" thickBot="1">
      <c r="A48" s="484"/>
      <c r="B48" s="484"/>
      <c r="C48" s="484"/>
      <c r="D48" s="484"/>
      <c r="E48" s="484"/>
      <c r="F48" s="484"/>
      <c r="G48" s="484"/>
      <c r="H48" s="484"/>
      <c r="I48" s="484"/>
    </row>
    <row r="49" spans="1:9" ht="15">
      <c r="A49" s="485" t="s">
        <v>476</v>
      </c>
      <c r="B49" s="486"/>
      <c r="C49" s="486"/>
      <c r="D49" s="486"/>
      <c r="E49" s="486"/>
      <c r="F49" s="486"/>
      <c r="G49" s="486"/>
      <c r="H49" s="486"/>
      <c r="I49" s="487"/>
    </row>
    <row r="50" spans="1:9" ht="33" customHeight="1" thickBot="1">
      <c r="A50" s="488" t="s">
        <v>477</v>
      </c>
      <c r="B50" s="489"/>
      <c r="C50" s="489"/>
      <c r="D50" s="489"/>
      <c r="E50" s="489"/>
      <c r="F50" s="489"/>
      <c r="G50" s="489"/>
      <c r="H50" s="489"/>
      <c r="I50" s="490"/>
    </row>
  </sheetData>
  <sheetProtection/>
  <mergeCells count="20">
    <mergeCell ref="A30:I30"/>
    <mergeCell ref="A48:I48"/>
    <mergeCell ref="A49:I49"/>
    <mergeCell ref="A50:I50"/>
    <mergeCell ref="G6:G7"/>
    <mergeCell ref="H6:H7"/>
    <mergeCell ref="I6:I7"/>
    <mergeCell ref="A8:I8"/>
    <mergeCell ref="A14:I14"/>
    <mergeCell ref="A27:I27"/>
    <mergeCell ref="A1:I1"/>
    <mergeCell ref="B2:I2"/>
    <mergeCell ref="B3:I3"/>
    <mergeCell ref="B4:I4"/>
    <mergeCell ref="B5:I5"/>
    <mergeCell ref="A6:A7"/>
    <mergeCell ref="B6:B7"/>
    <mergeCell ref="C6:C7"/>
    <mergeCell ref="D6:E6"/>
    <mergeCell ref="F6:F7"/>
  </mergeCells>
  <printOptions/>
  <pageMargins left="0.511811024" right="0.511811024" top="0.787401575" bottom="0.787401575" header="0.31496062" footer="0.31496062"/>
  <pageSetup horizontalDpi="600" verticalDpi="600" orientation="portrait" paperSize="9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85" zoomScaleSheetLayoutView="85" zoomScalePageLayoutView="0" workbookViewId="0" topLeftCell="A1">
      <selection activeCell="B2" sqref="B2:I2"/>
    </sheetView>
  </sheetViews>
  <sheetFormatPr defaultColWidth="9.140625" defaultRowHeight="12.75"/>
  <cols>
    <col min="1" max="1" width="47.00390625" style="0" customWidth="1"/>
    <col min="2" max="2" width="11.00390625" style="0" customWidth="1"/>
    <col min="3" max="3" width="13.00390625" style="0" customWidth="1"/>
    <col min="6" max="6" width="12.421875" style="0" customWidth="1"/>
    <col min="7" max="7" width="12.7109375" style="0" customWidth="1"/>
    <col min="8" max="8" width="11.00390625" style="0" customWidth="1"/>
    <col min="9" max="9" width="12.28125" style="0" customWidth="1"/>
  </cols>
  <sheetData>
    <row r="1" spans="1:9" ht="21.75" thickBot="1">
      <c r="A1" s="454" t="s">
        <v>427</v>
      </c>
      <c r="B1" s="455"/>
      <c r="C1" s="455"/>
      <c r="D1" s="455"/>
      <c r="E1" s="455"/>
      <c r="F1" s="455"/>
      <c r="G1" s="455"/>
      <c r="H1" s="455"/>
      <c r="I1" s="456"/>
    </row>
    <row r="2" spans="1:9" ht="15" customHeight="1">
      <c r="A2" s="202" t="s">
        <v>428</v>
      </c>
      <c r="B2" s="457" t="s">
        <v>819</v>
      </c>
      <c r="C2" s="457"/>
      <c r="D2" s="457"/>
      <c r="E2" s="457"/>
      <c r="F2" s="457"/>
      <c r="G2" s="457"/>
      <c r="H2" s="457"/>
      <c r="I2" s="458"/>
    </row>
    <row r="3" spans="1:9" ht="15">
      <c r="A3" s="203" t="s">
        <v>287</v>
      </c>
      <c r="B3" s="459" t="s">
        <v>542</v>
      </c>
      <c r="C3" s="460"/>
      <c r="D3" s="460"/>
      <c r="E3" s="460"/>
      <c r="F3" s="460"/>
      <c r="G3" s="460"/>
      <c r="H3" s="460"/>
      <c r="I3" s="461"/>
    </row>
    <row r="4" spans="1:9" ht="15">
      <c r="A4" s="203" t="s">
        <v>430</v>
      </c>
      <c r="B4" s="462" t="s">
        <v>508</v>
      </c>
      <c r="C4" s="463"/>
      <c r="D4" s="463"/>
      <c r="E4" s="463"/>
      <c r="F4" s="463"/>
      <c r="G4" s="463"/>
      <c r="H4" s="463"/>
      <c r="I4" s="464"/>
    </row>
    <row r="5" spans="1:9" ht="15.75" thickBot="1">
      <c r="A5" s="204" t="s">
        <v>431</v>
      </c>
      <c r="B5" s="465" t="s">
        <v>302</v>
      </c>
      <c r="C5" s="466"/>
      <c r="D5" s="466"/>
      <c r="E5" s="466"/>
      <c r="F5" s="466"/>
      <c r="G5" s="466"/>
      <c r="H5" s="466"/>
      <c r="I5" s="467"/>
    </row>
    <row r="6" spans="1:9" ht="15">
      <c r="A6" s="468" t="s">
        <v>433</v>
      </c>
      <c r="B6" s="435" t="s">
        <v>434</v>
      </c>
      <c r="C6" s="435" t="s">
        <v>435</v>
      </c>
      <c r="D6" s="470"/>
      <c r="E6" s="470"/>
      <c r="F6" s="435" t="s">
        <v>436</v>
      </c>
      <c r="G6" s="435" t="s">
        <v>437</v>
      </c>
      <c r="H6" s="435" t="s">
        <v>438</v>
      </c>
      <c r="I6" s="437" t="s">
        <v>439</v>
      </c>
    </row>
    <row r="7" spans="1:9" ht="30.75" thickBot="1">
      <c r="A7" s="469"/>
      <c r="B7" s="436"/>
      <c r="C7" s="436"/>
      <c r="D7" s="201" t="s">
        <v>440</v>
      </c>
      <c r="E7" s="201" t="s">
        <v>441</v>
      </c>
      <c r="F7" s="436"/>
      <c r="G7" s="436"/>
      <c r="H7" s="436"/>
      <c r="I7" s="438"/>
    </row>
    <row r="8" spans="1:9" ht="13.5" thickBot="1">
      <c r="A8" s="494" t="s">
        <v>442</v>
      </c>
      <c r="B8" s="495"/>
      <c r="C8" s="495"/>
      <c r="D8" s="495"/>
      <c r="E8" s="495"/>
      <c r="F8" s="495"/>
      <c r="G8" s="495"/>
      <c r="H8" s="495"/>
      <c r="I8" s="496"/>
    </row>
    <row r="9" spans="1:9" ht="15">
      <c r="A9" s="188" t="s">
        <v>443</v>
      </c>
      <c r="B9" s="189" t="s">
        <v>444</v>
      </c>
      <c r="C9" s="190" t="s">
        <v>482</v>
      </c>
      <c r="D9" s="191">
        <v>3</v>
      </c>
      <c r="E9" s="192">
        <v>1</v>
      </c>
      <c r="F9" s="192">
        <v>4.67</v>
      </c>
      <c r="G9" s="193">
        <v>0</v>
      </c>
      <c r="H9" s="192">
        <v>10.97</v>
      </c>
      <c r="I9" s="180">
        <f>D9*H9</f>
        <v>32.910000000000004</v>
      </c>
    </row>
    <row r="10" spans="1:9" ht="15">
      <c r="A10" s="188" t="s">
        <v>446</v>
      </c>
      <c r="B10" s="189" t="s">
        <v>444</v>
      </c>
      <c r="C10" s="190" t="s">
        <v>483</v>
      </c>
      <c r="D10" s="191">
        <v>0.5</v>
      </c>
      <c r="E10" s="192">
        <v>1</v>
      </c>
      <c r="F10" s="192">
        <v>5.54</v>
      </c>
      <c r="G10" s="160">
        <v>0</v>
      </c>
      <c r="H10" s="192">
        <v>13.01</v>
      </c>
      <c r="I10" s="180">
        <f>D10*H10</f>
        <v>6.505</v>
      </c>
    </row>
    <row r="11" spans="1:9" ht="30.75" thickBot="1">
      <c r="A11" s="194"/>
      <c r="B11" s="195"/>
      <c r="C11" s="196"/>
      <c r="D11" s="195"/>
      <c r="E11" s="197"/>
      <c r="F11" s="198"/>
      <c r="G11" s="197"/>
      <c r="H11" s="199" t="s">
        <v>439</v>
      </c>
      <c r="I11" s="200">
        <f>SUM(I9:I10)</f>
        <v>39.415000000000006</v>
      </c>
    </row>
    <row r="12" spans="1:9" ht="15.75" thickBot="1">
      <c r="A12" s="439" t="s">
        <v>490</v>
      </c>
      <c r="B12" s="440"/>
      <c r="C12" s="440"/>
      <c r="D12" s="440"/>
      <c r="E12" s="440"/>
      <c r="F12" s="440"/>
      <c r="G12" s="440"/>
      <c r="H12" s="440"/>
      <c r="I12" s="441"/>
    </row>
    <row r="13" spans="1:9" ht="75">
      <c r="A13" s="139" t="s">
        <v>491</v>
      </c>
      <c r="B13" s="162" t="s">
        <v>35</v>
      </c>
      <c r="C13" s="172"/>
      <c r="D13" s="164">
        <v>1</v>
      </c>
      <c r="E13" s="173"/>
      <c r="F13" s="173"/>
      <c r="G13" s="174">
        <v>0</v>
      </c>
      <c r="H13" s="187">
        <f>D49</f>
        <v>748.0000000000001</v>
      </c>
      <c r="I13" s="175">
        <f>D13*H13</f>
        <v>748.0000000000001</v>
      </c>
    </row>
    <row r="14" spans="1:9" ht="15">
      <c r="A14" s="144"/>
      <c r="B14" s="176"/>
      <c r="C14" s="176"/>
      <c r="D14" s="177"/>
      <c r="E14" s="177"/>
      <c r="F14" s="177"/>
      <c r="G14" s="178">
        <v>0</v>
      </c>
      <c r="H14" s="179"/>
      <c r="I14" s="180">
        <f>D14*H14</f>
        <v>0</v>
      </c>
    </row>
    <row r="15" spans="1:9" ht="30.75" thickBot="1">
      <c r="A15" s="181"/>
      <c r="B15" s="182"/>
      <c r="C15" s="183"/>
      <c r="D15" s="184"/>
      <c r="E15" s="184"/>
      <c r="F15" s="184"/>
      <c r="G15" s="184"/>
      <c r="H15" s="185" t="s">
        <v>439</v>
      </c>
      <c r="I15" s="186">
        <f>SUM(I13:I14)</f>
        <v>748.0000000000001</v>
      </c>
    </row>
    <row r="16" spans="1:9" ht="13.5" thickBot="1">
      <c r="A16" s="442" t="s">
        <v>478</v>
      </c>
      <c r="B16" s="443"/>
      <c r="C16" s="443"/>
      <c r="D16" s="443"/>
      <c r="E16" s="443"/>
      <c r="F16" s="443"/>
      <c r="G16" s="443"/>
      <c r="H16" s="443"/>
      <c r="I16" s="444"/>
    </row>
    <row r="17" spans="1:9" ht="15">
      <c r="A17" s="139" t="s">
        <v>484</v>
      </c>
      <c r="B17" s="162" t="s">
        <v>35</v>
      </c>
      <c r="C17" s="163" t="s">
        <v>489</v>
      </c>
      <c r="D17" s="164">
        <v>1.2</v>
      </c>
      <c r="E17" s="164"/>
      <c r="F17" s="164">
        <v>26.36</v>
      </c>
      <c r="G17" s="165">
        <v>0</v>
      </c>
      <c r="H17" s="164">
        <f>F17</f>
        <v>26.36</v>
      </c>
      <c r="I17" s="166">
        <f>D17*H17</f>
        <v>31.631999999999998</v>
      </c>
    </row>
    <row r="18" spans="1:9" ht="15">
      <c r="A18" s="144" t="s">
        <v>485</v>
      </c>
      <c r="B18" s="167" t="s">
        <v>35</v>
      </c>
      <c r="C18" s="168" t="s">
        <v>488</v>
      </c>
      <c r="D18" s="169">
        <v>1.2</v>
      </c>
      <c r="E18" s="169"/>
      <c r="F18" s="169">
        <v>26.67</v>
      </c>
      <c r="G18" s="170">
        <v>0</v>
      </c>
      <c r="H18" s="169">
        <f>F18</f>
        <v>26.67</v>
      </c>
      <c r="I18" s="171">
        <f>D18*H18</f>
        <v>32.004</v>
      </c>
    </row>
    <row r="19" spans="1:9" ht="15">
      <c r="A19" s="144" t="s">
        <v>486</v>
      </c>
      <c r="B19" s="167" t="s">
        <v>35</v>
      </c>
      <c r="C19" s="168" t="s">
        <v>487</v>
      </c>
      <c r="D19" s="169">
        <v>1</v>
      </c>
      <c r="E19" s="169"/>
      <c r="F19" s="169">
        <v>16.22</v>
      </c>
      <c r="G19" s="170">
        <v>0</v>
      </c>
      <c r="H19" s="169">
        <f>F19</f>
        <v>16.22</v>
      </c>
      <c r="I19" s="171">
        <f>D19*H19</f>
        <v>16.22</v>
      </c>
    </row>
    <row r="20" spans="1:9" ht="13.5" thickBot="1">
      <c r="A20" s="133"/>
      <c r="B20" s="134"/>
      <c r="C20" s="134"/>
      <c r="D20" s="140"/>
      <c r="E20" s="141"/>
      <c r="F20" s="141"/>
      <c r="G20" s="141"/>
      <c r="H20" s="142" t="s">
        <v>439</v>
      </c>
      <c r="I20" s="143">
        <f>SUM(I17:I19)</f>
        <v>79.856</v>
      </c>
    </row>
    <row r="21" spans="1:9" ht="13.5" thickBot="1">
      <c r="A21" s="442" t="s">
        <v>479</v>
      </c>
      <c r="B21" s="443"/>
      <c r="C21" s="443"/>
      <c r="D21" s="443"/>
      <c r="E21" s="443"/>
      <c r="F21" s="443"/>
      <c r="G21" s="443"/>
      <c r="H21" s="443"/>
      <c r="I21" s="444"/>
    </row>
    <row r="22" spans="1:9" ht="12.75">
      <c r="A22" s="130"/>
      <c r="B22" s="121"/>
      <c r="C22" s="122"/>
      <c r="D22" s="123"/>
      <c r="E22" s="124"/>
      <c r="F22" s="125"/>
      <c r="G22" s="124"/>
      <c r="H22" s="125"/>
      <c r="I22" s="126">
        <f>D22*F22</f>
        <v>0</v>
      </c>
    </row>
    <row r="23" spans="1:9" ht="12.75">
      <c r="A23" s="131"/>
      <c r="B23" s="118"/>
      <c r="C23" s="128"/>
      <c r="D23" s="129"/>
      <c r="E23" s="119"/>
      <c r="F23" s="120"/>
      <c r="G23" s="119"/>
      <c r="H23" s="120"/>
      <c r="I23" s="132">
        <f>D23*F23</f>
        <v>0</v>
      </c>
    </row>
    <row r="24" spans="1:9" ht="13.5" thickBot="1">
      <c r="A24" s="133"/>
      <c r="B24" s="134"/>
      <c r="C24" s="134"/>
      <c r="D24" s="135"/>
      <c r="E24" s="136"/>
      <c r="F24" s="136"/>
      <c r="G24" s="136"/>
      <c r="H24" s="137" t="s">
        <v>439</v>
      </c>
      <c r="I24" s="138">
        <f>I22+I23</f>
        <v>0</v>
      </c>
    </row>
    <row r="25" spans="1:9" ht="13.5" thickBot="1">
      <c r="A25" s="127"/>
      <c r="B25" s="127"/>
      <c r="C25" s="127"/>
      <c r="D25" s="127"/>
      <c r="E25" s="127"/>
      <c r="F25" s="127"/>
      <c r="G25" s="127"/>
      <c r="H25" s="127"/>
      <c r="I25" s="127"/>
    </row>
    <row r="26" spans="1:9" ht="15">
      <c r="A26" s="145" t="s">
        <v>461</v>
      </c>
      <c r="B26" s="146"/>
      <c r="C26" s="147"/>
      <c r="D26" s="127"/>
      <c r="E26" s="127"/>
      <c r="F26" s="127"/>
      <c r="G26" s="127"/>
      <c r="H26" s="127"/>
      <c r="I26" s="127"/>
    </row>
    <row r="27" spans="1:9" ht="30">
      <c r="A27" s="148" t="s">
        <v>462</v>
      </c>
      <c r="B27" s="149" t="s">
        <v>463</v>
      </c>
      <c r="C27" s="150" t="s">
        <v>464</v>
      </c>
      <c r="D27" s="127"/>
      <c r="E27" s="127"/>
      <c r="F27" s="127"/>
      <c r="G27" s="127"/>
      <c r="H27" s="127"/>
      <c r="I27" s="127"/>
    </row>
    <row r="28" spans="1:9" ht="15">
      <c r="A28" s="148" t="s">
        <v>465</v>
      </c>
      <c r="B28" s="160">
        <v>134.67</v>
      </c>
      <c r="C28" s="157">
        <f>I11</f>
        <v>39.415000000000006</v>
      </c>
      <c r="D28" s="127"/>
      <c r="E28" s="127"/>
      <c r="F28" s="127"/>
      <c r="G28" s="127"/>
      <c r="H28" s="127"/>
      <c r="I28" s="127"/>
    </row>
    <row r="29" spans="1:9" ht="15">
      <c r="A29" s="148" t="s">
        <v>466</v>
      </c>
      <c r="B29" s="160"/>
      <c r="C29" s="157">
        <f>I15</f>
        <v>748.0000000000001</v>
      </c>
      <c r="D29" s="127"/>
      <c r="E29" s="127"/>
      <c r="F29" s="127"/>
      <c r="G29" s="127"/>
      <c r="H29" s="127"/>
      <c r="I29" s="127"/>
    </row>
    <row r="30" spans="1:9" ht="15">
      <c r="A30" s="148" t="s">
        <v>467</v>
      </c>
      <c r="B30" s="160"/>
      <c r="C30" s="157">
        <f>I24</f>
        <v>0</v>
      </c>
      <c r="D30" s="127"/>
      <c r="E30" s="127"/>
      <c r="F30" s="127"/>
      <c r="G30" s="127"/>
      <c r="H30" s="127"/>
      <c r="I30" s="127"/>
    </row>
    <row r="31" spans="1:9" ht="15">
      <c r="A31" s="148" t="s">
        <v>468</v>
      </c>
      <c r="B31" s="160"/>
      <c r="C31" s="157">
        <f>I20</f>
        <v>79.856</v>
      </c>
      <c r="D31" s="127"/>
      <c r="E31" s="127"/>
      <c r="F31" s="127"/>
      <c r="G31" s="127"/>
      <c r="H31" s="127"/>
      <c r="I31" s="127"/>
    </row>
    <row r="32" spans="1:9" ht="15">
      <c r="A32" s="148" t="s">
        <v>469</v>
      </c>
      <c r="B32" s="160"/>
      <c r="C32" s="158">
        <v>1</v>
      </c>
      <c r="D32" s="127"/>
      <c r="E32" s="127"/>
      <c r="F32" s="127"/>
      <c r="G32" s="127"/>
      <c r="H32" s="127"/>
      <c r="I32" s="127"/>
    </row>
    <row r="33" spans="1:9" ht="15">
      <c r="A33" s="148" t="s">
        <v>470</v>
      </c>
      <c r="B33" s="160"/>
      <c r="C33" s="157">
        <f>C28+C31</f>
        <v>119.271</v>
      </c>
      <c r="D33" s="127"/>
      <c r="E33" s="127"/>
      <c r="F33" s="127"/>
      <c r="G33" s="127"/>
      <c r="H33" s="127"/>
      <c r="I33" s="127"/>
    </row>
    <row r="34" spans="1:9" ht="30">
      <c r="A34" s="152" t="s">
        <v>471</v>
      </c>
      <c r="B34" s="160"/>
      <c r="C34" s="157">
        <f>C28+(C31/C32)</f>
        <v>119.271</v>
      </c>
      <c r="D34" s="127"/>
      <c r="E34" s="127"/>
      <c r="F34" s="127"/>
      <c r="G34" s="127"/>
      <c r="H34" s="127"/>
      <c r="I34" s="127"/>
    </row>
    <row r="35" spans="1:9" ht="15">
      <c r="A35" s="148" t="s">
        <v>472</v>
      </c>
      <c r="B35" s="160"/>
      <c r="C35" s="157">
        <f>C29+C34</f>
        <v>867.2710000000001</v>
      </c>
      <c r="D35" s="127"/>
      <c r="E35" s="127"/>
      <c r="F35" s="127"/>
      <c r="G35" s="127"/>
      <c r="H35" s="127"/>
      <c r="I35" s="127"/>
    </row>
    <row r="36" spans="1:9" ht="15">
      <c r="A36" s="153" t="s">
        <v>473</v>
      </c>
      <c r="B36" s="161">
        <v>30.9</v>
      </c>
      <c r="C36" s="159">
        <f>C35*0.309</f>
        <v>267.986739</v>
      </c>
      <c r="D36" s="127"/>
      <c r="E36" s="127"/>
      <c r="F36" s="127"/>
      <c r="G36" s="127"/>
      <c r="H36" s="127"/>
      <c r="I36" s="127"/>
    </row>
    <row r="37" spans="1:9" ht="15">
      <c r="A37" s="148" t="s">
        <v>474</v>
      </c>
      <c r="B37" s="151"/>
      <c r="C37" s="233">
        <f>C35*1.309</f>
        <v>1135.2577390000001</v>
      </c>
      <c r="D37" s="127"/>
      <c r="E37" s="127"/>
      <c r="F37" s="127"/>
      <c r="G37" s="127"/>
      <c r="H37" s="127"/>
      <c r="I37" s="127"/>
    </row>
    <row r="38" spans="1:9" ht="15.75" thickBot="1">
      <c r="A38" s="154" t="s">
        <v>475</v>
      </c>
      <c r="B38" s="155"/>
      <c r="C38" s="229">
        <f>C37</f>
        <v>1135.2577390000001</v>
      </c>
      <c r="D38" s="127"/>
      <c r="E38" s="127"/>
      <c r="F38" s="127"/>
      <c r="G38" s="127"/>
      <c r="H38" s="127"/>
      <c r="I38" s="127"/>
    </row>
    <row r="39" spans="1:9" ht="13.5" thickBot="1">
      <c r="A39" s="445"/>
      <c r="B39" s="445"/>
      <c r="C39" s="445"/>
      <c r="D39" s="445"/>
      <c r="E39" s="445"/>
      <c r="F39" s="445"/>
      <c r="G39" s="445"/>
      <c r="H39" s="445"/>
      <c r="I39" s="445"/>
    </row>
    <row r="40" spans="1:9" ht="12.75">
      <c r="A40" s="448" t="s">
        <v>476</v>
      </c>
      <c r="B40" s="449"/>
      <c r="C40" s="449"/>
      <c r="D40" s="449"/>
      <c r="E40" s="449"/>
      <c r="F40" s="449"/>
      <c r="G40" s="449"/>
      <c r="H40" s="449"/>
      <c r="I40" s="450"/>
    </row>
    <row r="41" spans="1:9" ht="27" customHeight="1" thickBot="1">
      <c r="A41" s="451" t="s">
        <v>818</v>
      </c>
      <c r="B41" s="452"/>
      <c r="C41" s="452"/>
      <c r="D41" s="452"/>
      <c r="E41" s="452"/>
      <c r="F41" s="452"/>
      <c r="G41" s="452"/>
      <c r="H41" s="452"/>
      <c r="I41" s="453"/>
    </row>
    <row r="43" spans="1:7" ht="12.75">
      <c r="A43" s="446" t="s">
        <v>553</v>
      </c>
      <c r="B43" s="446"/>
      <c r="C43" s="446"/>
      <c r="D43" s="446"/>
      <c r="E43" s="446"/>
      <c r="F43" s="446"/>
      <c r="G43" s="446"/>
    </row>
    <row r="44" spans="2:5" ht="12.75">
      <c r="B44" s="447" t="s">
        <v>554</v>
      </c>
      <c r="C44" s="447"/>
      <c r="D44" s="447"/>
      <c r="E44" s="447"/>
    </row>
    <row r="45" spans="2:5" ht="12.75">
      <c r="B45" s="447" t="s">
        <v>555</v>
      </c>
      <c r="C45" s="447"/>
      <c r="D45" s="447" t="s">
        <v>556</v>
      </c>
      <c r="E45" s="447"/>
    </row>
    <row r="46" spans="2:5" ht="12.75">
      <c r="B46" s="473" t="s">
        <v>559</v>
      </c>
      <c r="C46" s="473"/>
      <c r="D46" s="474">
        <f>680*1.1</f>
        <v>748.0000000000001</v>
      </c>
      <c r="E46" s="474"/>
    </row>
    <row r="47" spans="2:5" ht="12.75">
      <c r="B47" s="473"/>
      <c r="C47" s="473"/>
      <c r="D47" s="474"/>
      <c r="E47" s="474"/>
    </row>
    <row r="48" spans="2:5" ht="12.75">
      <c r="B48" s="473"/>
      <c r="C48" s="473"/>
      <c r="D48" s="474"/>
      <c r="E48" s="474"/>
    </row>
    <row r="49" spans="2:5" ht="12.75">
      <c r="B49" s="471" t="s">
        <v>557</v>
      </c>
      <c r="C49" s="471"/>
      <c r="D49" s="472">
        <f>(D46+D47+D48)/1</f>
        <v>748.0000000000001</v>
      </c>
      <c r="E49" s="472"/>
    </row>
  </sheetData>
  <sheetProtection/>
  <mergeCells count="32">
    <mergeCell ref="B47:C47"/>
    <mergeCell ref="D47:E47"/>
    <mergeCell ref="B48:C48"/>
    <mergeCell ref="D48:E48"/>
    <mergeCell ref="B49:C49"/>
    <mergeCell ref="D49:E49"/>
    <mergeCell ref="A43:G43"/>
    <mergeCell ref="B44:E44"/>
    <mergeCell ref="B45:C45"/>
    <mergeCell ref="D45:E45"/>
    <mergeCell ref="B46:C46"/>
    <mergeCell ref="D46:E46"/>
    <mergeCell ref="A1:I1"/>
    <mergeCell ref="B2:I2"/>
    <mergeCell ref="B3:I3"/>
    <mergeCell ref="B4:I4"/>
    <mergeCell ref="B5:I5"/>
    <mergeCell ref="A6:A7"/>
    <mergeCell ref="B6:B7"/>
    <mergeCell ref="C6:C7"/>
    <mergeCell ref="D6:E6"/>
    <mergeCell ref="F6:F7"/>
    <mergeCell ref="A21:I21"/>
    <mergeCell ref="A39:I39"/>
    <mergeCell ref="A40:I40"/>
    <mergeCell ref="A41:I41"/>
    <mergeCell ref="G6:G7"/>
    <mergeCell ref="H6:H7"/>
    <mergeCell ref="I6:I7"/>
    <mergeCell ref="A8:I8"/>
    <mergeCell ref="A12:I12"/>
    <mergeCell ref="A16:I16"/>
  </mergeCells>
  <printOptions/>
  <pageMargins left="0.511811024" right="0.511811024" top="0.787401575" bottom="0.787401575" header="0.31496062" footer="0.31496062"/>
  <pageSetup horizontalDpi="600" verticalDpi="600" orientation="portrait" paperSize="9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85" zoomScaleSheetLayoutView="85" zoomScalePageLayoutView="0" workbookViewId="0" topLeftCell="A1">
      <selection activeCell="B2" sqref="B2:I2"/>
    </sheetView>
  </sheetViews>
  <sheetFormatPr defaultColWidth="9.140625" defaultRowHeight="12.75"/>
  <cols>
    <col min="1" max="1" width="47.00390625" style="0" customWidth="1"/>
    <col min="2" max="2" width="11.00390625" style="0" customWidth="1"/>
    <col min="3" max="3" width="13.00390625" style="0" customWidth="1"/>
    <col min="6" max="6" width="12.421875" style="0" customWidth="1"/>
    <col min="7" max="7" width="12.7109375" style="0" customWidth="1"/>
    <col min="8" max="8" width="11.00390625" style="0" customWidth="1"/>
    <col min="9" max="9" width="12.28125" style="0" customWidth="1"/>
  </cols>
  <sheetData>
    <row r="1" spans="1:9" ht="15.75" thickBot="1">
      <c r="A1" s="475" t="s">
        <v>427</v>
      </c>
      <c r="B1" s="476"/>
      <c r="C1" s="476"/>
      <c r="D1" s="476"/>
      <c r="E1" s="476"/>
      <c r="F1" s="476"/>
      <c r="G1" s="476"/>
      <c r="H1" s="476"/>
      <c r="I1" s="477"/>
    </row>
    <row r="2" spans="1:9" ht="15" customHeight="1">
      <c r="A2" s="202" t="s">
        <v>428</v>
      </c>
      <c r="B2" s="457" t="s">
        <v>819</v>
      </c>
      <c r="C2" s="457"/>
      <c r="D2" s="457"/>
      <c r="E2" s="457"/>
      <c r="F2" s="457"/>
      <c r="G2" s="457"/>
      <c r="H2" s="457"/>
      <c r="I2" s="458"/>
    </row>
    <row r="3" spans="1:9" ht="15">
      <c r="A3" s="203" t="s">
        <v>287</v>
      </c>
      <c r="B3" s="459" t="s">
        <v>550</v>
      </c>
      <c r="C3" s="460"/>
      <c r="D3" s="460"/>
      <c r="E3" s="460"/>
      <c r="F3" s="460"/>
      <c r="G3" s="460"/>
      <c r="H3" s="460"/>
      <c r="I3" s="461"/>
    </row>
    <row r="4" spans="1:9" ht="33" customHeight="1">
      <c r="A4" s="248" t="s">
        <v>430</v>
      </c>
      <c r="B4" s="478" t="s">
        <v>523</v>
      </c>
      <c r="C4" s="479"/>
      <c r="D4" s="479"/>
      <c r="E4" s="479"/>
      <c r="F4" s="479"/>
      <c r="G4" s="479"/>
      <c r="H4" s="479"/>
      <c r="I4" s="480"/>
    </row>
    <row r="5" spans="1:9" ht="15.75" thickBot="1">
      <c r="A5" s="204" t="s">
        <v>431</v>
      </c>
      <c r="B5" s="465" t="s">
        <v>510</v>
      </c>
      <c r="C5" s="466"/>
      <c r="D5" s="466"/>
      <c r="E5" s="466"/>
      <c r="F5" s="466"/>
      <c r="G5" s="466"/>
      <c r="H5" s="466"/>
      <c r="I5" s="467"/>
    </row>
    <row r="6" spans="1:9" ht="15">
      <c r="A6" s="468" t="s">
        <v>433</v>
      </c>
      <c r="B6" s="435" t="s">
        <v>434</v>
      </c>
      <c r="C6" s="435" t="s">
        <v>435</v>
      </c>
      <c r="D6" s="470"/>
      <c r="E6" s="470"/>
      <c r="F6" s="435" t="s">
        <v>436</v>
      </c>
      <c r="G6" s="435" t="s">
        <v>437</v>
      </c>
      <c r="H6" s="435" t="s">
        <v>438</v>
      </c>
      <c r="I6" s="437" t="s">
        <v>439</v>
      </c>
    </row>
    <row r="7" spans="1:9" ht="30.75" thickBot="1">
      <c r="A7" s="469"/>
      <c r="B7" s="436"/>
      <c r="C7" s="436"/>
      <c r="D7" s="201" t="s">
        <v>440</v>
      </c>
      <c r="E7" s="201" t="s">
        <v>441</v>
      </c>
      <c r="F7" s="436"/>
      <c r="G7" s="436"/>
      <c r="H7" s="436"/>
      <c r="I7" s="438"/>
    </row>
    <row r="8" spans="1:9" ht="15.75" thickBot="1">
      <c r="A8" s="491" t="s">
        <v>492</v>
      </c>
      <c r="B8" s="492"/>
      <c r="C8" s="492"/>
      <c r="D8" s="492"/>
      <c r="E8" s="492"/>
      <c r="F8" s="492"/>
      <c r="G8" s="492"/>
      <c r="H8" s="492"/>
      <c r="I8" s="493"/>
    </row>
    <row r="9" spans="1:9" ht="15">
      <c r="A9" s="188" t="s">
        <v>551</v>
      </c>
      <c r="B9" s="189" t="s">
        <v>444</v>
      </c>
      <c r="C9" s="190" t="s">
        <v>482</v>
      </c>
      <c r="D9" s="191">
        <v>6</v>
      </c>
      <c r="E9" s="191">
        <v>1</v>
      </c>
      <c r="F9" s="192">
        <v>5.54</v>
      </c>
      <c r="G9" s="193"/>
      <c r="H9" s="192">
        <v>12.96</v>
      </c>
      <c r="I9" s="180">
        <f>D9*H9</f>
        <v>77.76</v>
      </c>
    </row>
    <row r="10" spans="1:9" ht="15">
      <c r="A10" s="194" t="s">
        <v>443</v>
      </c>
      <c r="B10" s="189" t="s">
        <v>444</v>
      </c>
      <c r="C10" s="190" t="s">
        <v>483</v>
      </c>
      <c r="D10" s="191">
        <v>10</v>
      </c>
      <c r="E10" s="191">
        <v>1</v>
      </c>
      <c r="F10" s="192">
        <v>4.67</v>
      </c>
      <c r="G10" s="160"/>
      <c r="H10" s="192">
        <v>10.93</v>
      </c>
      <c r="I10" s="180">
        <f>D10*H10</f>
        <v>109.3</v>
      </c>
    </row>
    <row r="11" spans="1:9" ht="30.75" thickBot="1">
      <c r="A11" s="194"/>
      <c r="B11" s="195"/>
      <c r="C11" s="196"/>
      <c r="D11" s="195"/>
      <c r="E11" s="197"/>
      <c r="F11" s="198"/>
      <c r="G11" s="197"/>
      <c r="H11" s="199" t="s">
        <v>439</v>
      </c>
      <c r="I11" s="200">
        <f>SUM(I9:I10)</f>
        <v>187.06</v>
      </c>
    </row>
    <row r="12" spans="1:9" ht="15.75" thickBot="1">
      <c r="A12" s="439" t="s">
        <v>490</v>
      </c>
      <c r="B12" s="440"/>
      <c r="C12" s="440"/>
      <c r="D12" s="440"/>
      <c r="E12" s="440"/>
      <c r="F12" s="440"/>
      <c r="G12" s="440"/>
      <c r="H12" s="440"/>
      <c r="I12" s="441"/>
    </row>
    <row r="13" spans="1:9" ht="45">
      <c r="A13" s="139" t="s">
        <v>548</v>
      </c>
      <c r="B13" s="211" t="s">
        <v>510</v>
      </c>
      <c r="C13" s="211"/>
      <c r="D13" s="245">
        <v>1</v>
      </c>
      <c r="E13" s="218"/>
      <c r="F13" s="243"/>
      <c r="G13" s="212"/>
      <c r="H13" s="324">
        <f>D49</f>
        <v>395.82812500000006</v>
      </c>
      <c r="I13" s="213">
        <f>H13*D13</f>
        <v>395.82812500000006</v>
      </c>
    </row>
    <row r="14" spans="1:9" ht="15">
      <c r="A14" s="144"/>
      <c r="B14" s="176"/>
      <c r="C14" s="190"/>
      <c r="D14" s="219"/>
      <c r="E14" s="219"/>
      <c r="F14" s="219"/>
      <c r="G14" s="221"/>
      <c r="H14" s="219"/>
      <c r="I14" s="157">
        <f>D14*H14</f>
        <v>0</v>
      </c>
    </row>
    <row r="15" spans="1:9" ht="30.75" thickBot="1">
      <c r="A15" s="181"/>
      <c r="B15" s="182"/>
      <c r="C15" s="183"/>
      <c r="D15" s="220"/>
      <c r="E15" s="220"/>
      <c r="F15" s="220"/>
      <c r="G15" s="220"/>
      <c r="H15" s="222" t="s">
        <v>439</v>
      </c>
      <c r="I15" s="223">
        <f>SUM(I13:I14)</f>
        <v>395.82812500000006</v>
      </c>
    </row>
    <row r="16" spans="1:9" ht="15.75" thickBot="1">
      <c r="A16" s="481" t="s">
        <v>478</v>
      </c>
      <c r="B16" s="482"/>
      <c r="C16" s="482"/>
      <c r="D16" s="482"/>
      <c r="E16" s="482"/>
      <c r="F16" s="482"/>
      <c r="G16" s="482"/>
      <c r="H16" s="482"/>
      <c r="I16" s="483"/>
    </row>
    <row r="17" spans="1:9" ht="15">
      <c r="A17" s="139" t="s">
        <v>484</v>
      </c>
      <c r="B17" s="162" t="s">
        <v>35</v>
      </c>
      <c r="C17" s="224" t="s">
        <v>489</v>
      </c>
      <c r="D17" s="187">
        <v>0.5</v>
      </c>
      <c r="E17" s="187"/>
      <c r="F17" s="187">
        <v>26.36</v>
      </c>
      <c r="G17" s="225"/>
      <c r="H17" s="187">
        <f>F17</f>
        <v>26.36</v>
      </c>
      <c r="I17" s="166">
        <f>D17*H17</f>
        <v>13.18</v>
      </c>
    </row>
    <row r="18" spans="1:9" ht="15">
      <c r="A18" s="144" t="s">
        <v>485</v>
      </c>
      <c r="B18" s="167" t="s">
        <v>35</v>
      </c>
      <c r="C18" s="190" t="s">
        <v>488</v>
      </c>
      <c r="D18" s="234">
        <v>0.5</v>
      </c>
      <c r="E18" s="234"/>
      <c r="F18" s="234">
        <v>26.67</v>
      </c>
      <c r="G18" s="235"/>
      <c r="H18" s="234">
        <f>F18</f>
        <v>26.67</v>
      </c>
      <c r="I18" s="171">
        <f>D18*H18</f>
        <v>13.335</v>
      </c>
    </row>
    <row r="19" spans="1:9" ht="15">
      <c r="A19" s="144"/>
      <c r="B19" s="167"/>
      <c r="C19" s="190"/>
      <c r="D19" s="234"/>
      <c r="E19" s="234"/>
      <c r="F19" s="234"/>
      <c r="G19" s="235"/>
      <c r="H19" s="234"/>
      <c r="I19" s="171"/>
    </row>
    <row r="20" spans="1:9" ht="30.75" thickBot="1">
      <c r="A20" s="207"/>
      <c r="B20" s="208"/>
      <c r="C20" s="208"/>
      <c r="D20" s="226"/>
      <c r="E20" s="226"/>
      <c r="F20" s="226"/>
      <c r="G20" s="226"/>
      <c r="H20" s="222" t="s">
        <v>439</v>
      </c>
      <c r="I20" s="209">
        <f>SUM(I17:I19)</f>
        <v>26.515</v>
      </c>
    </row>
    <row r="21" spans="1:9" ht="15.75" thickBot="1">
      <c r="A21" s="481" t="s">
        <v>479</v>
      </c>
      <c r="B21" s="482"/>
      <c r="C21" s="482"/>
      <c r="D21" s="482"/>
      <c r="E21" s="482"/>
      <c r="F21" s="482"/>
      <c r="G21" s="482"/>
      <c r="H21" s="482"/>
      <c r="I21" s="483"/>
    </row>
    <row r="22" spans="1:9" ht="15">
      <c r="A22" s="210"/>
      <c r="B22" s="211"/>
      <c r="C22" s="224"/>
      <c r="D22" s="212"/>
      <c r="E22" s="212"/>
      <c r="F22" s="212"/>
      <c r="G22" s="212"/>
      <c r="H22" s="212"/>
      <c r="I22" s="213">
        <f>D22*F22</f>
        <v>0</v>
      </c>
    </row>
    <row r="23" spans="1:9" ht="15">
      <c r="A23" s="214"/>
      <c r="B23" s="189"/>
      <c r="C23" s="190"/>
      <c r="D23" s="215"/>
      <c r="E23" s="215"/>
      <c r="F23" s="215"/>
      <c r="G23" s="215"/>
      <c r="H23" s="215"/>
      <c r="I23" s="157">
        <f>D23*F23</f>
        <v>0</v>
      </c>
    </row>
    <row r="24" spans="1:9" ht="30.75" thickBot="1">
      <c r="A24" s="207"/>
      <c r="B24" s="208"/>
      <c r="C24" s="208"/>
      <c r="D24" s="227"/>
      <c r="E24" s="227"/>
      <c r="F24" s="227"/>
      <c r="G24" s="227"/>
      <c r="H24" s="228" t="s">
        <v>439</v>
      </c>
      <c r="I24" s="216">
        <f>I22+I23</f>
        <v>0</v>
      </c>
    </row>
    <row r="25" spans="1:9" ht="15.75" thickBot="1">
      <c r="A25" s="217"/>
      <c r="B25" s="217"/>
      <c r="C25" s="217"/>
      <c r="D25" s="217"/>
      <c r="E25" s="217"/>
      <c r="F25" s="217"/>
      <c r="G25" s="217"/>
      <c r="H25" s="217"/>
      <c r="I25" s="217"/>
    </row>
    <row r="26" spans="1:9" ht="15">
      <c r="A26" s="145" t="s">
        <v>461</v>
      </c>
      <c r="B26" s="146"/>
      <c r="C26" s="147"/>
      <c r="D26" s="217"/>
      <c r="E26" s="217"/>
      <c r="F26" s="217"/>
      <c r="G26" s="217"/>
      <c r="H26" s="217"/>
      <c r="I26" s="217"/>
    </row>
    <row r="27" spans="1:9" ht="30">
      <c r="A27" s="148" t="s">
        <v>462</v>
      </c>
      <c r="B27" s="149" t="s">
        <v>463</v>
      </c>
      <c r="C27" s="150" t="s">
        <v>464</v>
      </c>
      <c r="D27" s="217"/>
      <c r="E27" s="217"/>
      <c r="F27" s="217"/>
      <c r="G27" s="217"/>
      <c r="H27" s="217"/>
      <c r="I27" s="217"/>
    </row>
    <row r="28" spans="1:9" ht="15">
      <c r="A28" s="148" t="s">
        <v>465</v>
      </c>
      <c r="B28" s="160">
        <v>134.67</v>
      </c>
      <c r="C28" s="180">
        <f>I11</f>
        <v>187.06</v>
      </c>
      <c r="D28" s="217"/>
      <c r="E28" s="217"/>
      <c r="F28" s="217"/>
      <c r="G28" s="217"/>
      <c r="H28" s="217"/>
      <c r="I28" s="217"/>
    </row>
    <row r="29" spans="1:9" ht="15">
      <c r="A29" s="148" t="s">
        <v>466</v>
      </c>
      <c r="B29" s="160"/>
      <c r="C29" s="180">
        <f>I15</f>
        <v>395.82812500000006</v>
      </c>
      <c r="D29" s="217"/>
      <c r="E29" s="217"/>
      <c r="F29" s="217"/>
      <c r="G29" s="217"/>
      <c r="H29" s="217"/>
      <c r="I29" s="217"/>
    </row>
    <row r="30" spans="1:9" ht="15">
      <c r="A30" s="148" t="s">
        <v>467</v>
      </c>
      <c r="B30" s="160"/>
      <c r="C30" s="180">
        <f>I24</f>
        <v>0</v>
      </c>
      <c r="D30" s="217"/>
      <c r="E30" s="217"/>
      <c r="F30" s="217"/>
      <c r="G30" s="217"/>
      <c r="H30" s="217"/>
      <c r="I30" s="217"/>
    </row>
    <row r="31" spans="1:9" ht="15">
      <c r="A31" s="148" t="s">
        <v>468</v>
      </c>
      <c r="B31" s="160"/>
      <c r="C31" s="232">
        <f>I20</f>
        <v>26.515</v>
      </c>
      <c r="D31" s="217"/>
      <c r="E31" s="217"/>
      <c r="F31" s="217"/>
      <c r="G31" s="217"/>
      <c r="H31" s="217"/>
      <c r="I31" s="217"/>
    </row>
    <row r="32" spans="1:9" ht="15">
      <c r="A32" s="148" t="s">
        <v>469</v>
      </c>
      <c r="B32" s="160"/>
      <c r="C32" s="180">
        <v>1</v>
      </c>
      <c r="D32" s="217"/>
      <c r="E32" s="217"/>
      <c r="F32" s="217"/>
      <c r="G32" s="217"/>
      <c r="H32" s="217"/>
      <c r="I32" s="217"/>
    </row>
    <row r="33" spans="1:9" ht="15">
      <c r="A33" s="148" t="s">
        <v>470</v>
      </c>
      <c r="B33" s="160"/>
      <c r="C33" s="180">
        <f>C28+C31</f>
        <v>213.575</v>
      </c>
      <c r="D33" s="217"/>
      <c r="E33" s="217"/>
      <c r="F33" s="217"/>
      <c r="G33" s="217"/>
      <c r="H33" s="217"/>
      <c r="I33" s="217"/>
    </row>
    <row r="34" spans="1:9" ht="15">
      <c r="A34" s="152" t="s">
        <v>471</v>
      </c>
      <c r="B34" s="160"/>
      <c r="C34" s="180">
        <f>C28+(C31/C32)</f>
        <v>213.575</v>
      </c>
      <c r="D34" s="217"/>
      <c r="E34" s="217"/>
      <c r="F34" s="217"/>
      <c r="G34" s="217"/>
      <c r="H34" s="217"/>
      <c r="I34" s="217"/>
    </row>
    <row r="35" spans="1:9" ht="15">
      <c r="A35" s="148" t="s">
        <v>472</v>
      </c>
      <c r="B35" s="160"/>
      <c r="C35" s="180">
        <f>C28+C29+C30+C31</f>
        <v>609.403125</v>
      </c>
      <c r="D35" s="217"/>
      <c r="E35" s="217"/>
      <c r="F35" s="217"/>
      <c r="G35" s="217"/>
      <c r="H35" s="217"/>
      <c r="I35" s="217"/>
    </row>
    <row r="36" spans="1:9" ht="15">
      <c r="A36" s="153" t="s">
        <v>473</v>
      </c>
      <c r="B36" s="161">
        <v>30.9</v>
      </c>
      <c r="C36" s="233">
        <f>C35*0.309</f>
        <v>188.305565625</v>
      </c>
      <c r="D36" s="217"/>
      <c r="E36" s="217"/>
      <c r="F36" s="217"/>
      <c r="G36" s="217"/>
      <c r="H36" s="217"/>
      <c r="I36" s="217"/>
    </row>
    <row r="37" spans="1:9" ht="15">
      <c r="A37" s="148" t="s">
        <v>474</v>
      </c>
      <c r="B37" s="160"/>
      <c r="C37" s="233">
        <f>C35+C36+C30</f>
        <v>797.708690625</v>
      </c>
      <c r="D37" s="217"/>
      <c r="E37" s="217"/>
      <c r="F37" s="217"/>
      <c r="G37" s="217"/>
      <c r="H37" s="217"/>
      <c r="I37" s="217"/>
    </row>
    <row r="38" spans="1:9" ht="15.75" thickBot="1">
      <c r="A38" s="154" t="s">
        <v>475</v>
      </c>
      <c r="B38" s="155"/>
      <c r="C38" s="229">
        <f>C37</f>
        <v>797.708690625</v>
      </c>
      <c r="D38" s="217"/>
      <c r="E38" s="217"/>
      <c r="F38" s="217"/>
      <c r="G38" s="217"/>
      <c r="H38" s="217"/>
      <c r="I38" s="217"/>
    </row>
    <row r="39" spans="1:9" ht="15.75" thickBot="1">
      <c r="A39" s="484"/>
      <c r="B39" s="484"/>
      <c r="C39" s="484"/>
      <c r="D39" s="484"/>
      <c r="E39" s="484"/>
      <c r="F39" s="484"/>
      <c r="G39" s="484"/>
      <c r="H39" s="484"/>
      <c r="I39" s="484"/>
    </row>
    <row r="40" spans="1:9" ht="15">
      <c r="A40" s="485" t="s">
        <v>476</v>
      </c>
      <c r="B40" s="486"/>
      <c r="C40" s="486"/>
      <c r="D40" s="486"/>
      <c r="E40" s="486"/>
      <c r="F40" s="486"/>
      <c r="G40" s="486"/>
      <c r="H40" s="486"/>
      <c r="I40" s="487"/>
    </row>
    <row r="41" spans="1:9" ht="33" customHeight="1" thickBot="1">
      <c r="A41" s="488" t="s">
        <v>818</v>
      </c>
      <c r="B41" s="489"/>
      <c r="C41" s="489"/>
      <c r="D41" s="489"/>
      <c r="E41" s="489"/>
      <c r="F41" s="489"/>
      <c r="G41" s="489"/>
      <c r="H41" s="489"/>
      <c r="I41" s="490"/>
    </row>
    <row r="43" spans="1:7" ht="12.75">
      <c r="A43" s="446" t="s">
        <v>553</v>
      </c>
      <c r="B43" s="446"/>
      <c r="C43" s="446"/>
      <c r="D43" s="446"/>
      <c r="E43" s="446"/>
      <c r="F43" s="446"/>
      <c r="G43" s="446"/>
    </row>
    <row r="44" spans="2:5" ht="12.75">
      <c r="B44" s="447" t="s">
        <v>554</v>
      </c>
      <c r="C44" s="447"/>
      <c r="D44" s="447"/>
      <c r="E44" s="447"/>
    </row>
    <row r="45" spans="2:5" ht="12.75">
      <c r="B45" s="447" t="s">
        <v>555</v>
      </c>
      <c r="C45" s="447"/>
      <c r="D45" s="447" t="s">
        <v>556</v>
      </c>
      <c r="E45" s="447"/>
    </row>
    <row r="46" spans="2:5" ht="24.75" customHeight="1">
      <c r="B46" s="473" t="s">
        <v>560</v>
      </c>
      <c r="C46" s="473"/>
      <c r="D46" s="474">
        <f>((878+1425)/6.4)*1.1</f>
        <v>395.82812500000006</v>
      </c>
      <c r="E46" s="474"/>
    </row>
    <row r="47" spans="2:5" ht="12.75">
      <c r="B47" s="473"/>
      <c r="C47" s="473"/>
      <c r="D47" s="474"/>
      <c r="E47" s="474"/>
    </row>
    <row r="48" spans="2:5" ht="12.75">
      <c r="B48" s="473"/>
      <c r="C48" s="473"/>
      <c r="D48" s="474"/>
      <c r="E48" s="474"/>
    </row>
    <row r="49" spans="2:5" ht="12.75">
      <c r="B49" s="471" t="s">
        <v>557</v>
      </c>
      <c r="C49" s="471"/>
      <c r="D49" s="472">
        <f>(D46+D47+D48)/1</f>
        <v>395.82812500000006</v>
      </c>
      <c r="E49" s="472"/>
    </row>
  </sheetData>
  <sheetProtection/>
  <mergeCells count="32">
    <mergeCell ref="B47:C47"/>
    <mergeCell ref="D47:E47"/>
    <mergeCell ref="B48:C48"/>
    <mergeCell ref="D48:E48"/>
    <mergeCell ref="B49:C49"/>
    <mergeCell ref="D49:E49"/>
    <mergeCell ref="A43:G43"/>
    <mergeCell ref="B44:E44"/>
    <mergeCell ref="B45:C45"/>
    <mergeCell ref="D45:E45"/>
    <mergeCell ref="B46:C46"/>
    <mergeCell ref="D46:E46"/>
    <mergeCell ref="A1:I1"/>
    <mergeCell ref="B2:I2"/>
    <mergeCell ref="B3:I3"/>
    <mergeCell ref="B4:I4"/>
    <mergeCell ref="B5:I5"/>
    <mergeCell ref="A6:A7"/>
    <mergeCell ref="B6:B7"/>
    <mergeCell ref="C6:C7"/>
    <mergeCell ref="D6:E6"/>
    <mergeCell ref="F6:F7"/>
    <mergeCell ref="A21:I21"/>
    <mergeCell ref="A39:I39"/>
    <mergeCell ref="A40:I40"/>
    <mergeCell ref="A41:I41"/>
    <mergeCell ref="G6:G7"/>
    <mergeCell ref="H6:H7"/>
    <mergeCell ref="I6:I7"/>
    <mergeCell ref="A8:I8"/>
    <mergeCell ref="A12:I12"/>
    <mergeCell ref="A16:I16"/>
  </mergeCells>
  <printOptions/>
  <pageMargins left="0.511811024" right="0.511811024" top="0.787401575" bottom="0.787401575" header="0.31496062" footer="0.31496062"/>
  <pageSetup horizontalDpi="600" verticalDpi="600" orientation="portrait" paperSize="9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85" zoomScaleSheetLayoutView="85" zoomScalePageLayoutView="0" workbookViewId="0" topLeftCell="A16">
      <selection activeCell="C37" sqref="C37"/>
    </sheetView>
  </sheetViews>
  <sheetFormatPr defaultColWidth="9.140625" defaultRowHeight="12.75"/>
  <cols>
    <col min="1" max="1" width="47.00390625" style="0" customWidth="1"/>
    <col min="2" max="2" width="11.00390625" style="0" customWidth="1"/>
    <col min="3" max="3" width="13.00390625" style="0" customWidth="1"/>
    <col min="6" max="6" width="12.421875" style="0" customWidth="1"/>
    <col min="7" max="7" width="12.7109375" style="0" customWidth="1"/>
    <col min="8" max="8" width="11.00390625" style="0" customWidth="1"/>
    <col min="9" max="9" width="12.28125" style="0" customWidth="1"/>
  </cols>
  <sheetData>
    <row r="1" spans="1:9" ht="15.75" thickBot="1">
      <c r="A1" s="475" t="s">
        <v>427</v>
      </c>
      <c r="B1" s="476"/>
      <c r="C1" s="476"/>
      <c r="D1" s="476"/>
      <c r="E1" s="476"/>
      <c r="F1" s="476"/>
      <c r="G1" s="476"/>
      <c r="H1" s="476"/>
      <c r="I1" s="477"/>
    </row>
    <row r="2" spans="1:9" ht="15">
      <c r="A2" s="202" t="s">
        <v>428</v>
      </c>
      <c r="B2" s="457" t="s">
        <v>819</v>
      </c>
      <c r="C2" s="457"/>
      <c r="D2" s="457"/>
      <c r="E2" s="457"/>
      <c r="F2" s="457"/>
      <c r="G2" s="457"/>
      <c r="H2" s="457"/>
      <c r="I2" s="458"/>
    </row>
    <row r="3" spans="1:9" ht="15">
      <c r="A3" s="203" t="s">
        <v>287</v>
      </c>
      <c r="B3" s="459" t="s">
        <v>543</v>
      </c>
      <c r="C3" s="460"/>
      <c r="D3" s="460"/>
      <c r="E3" s="460"/>
      <c r="F3" s="460"/>
      <c r="G3" s="460"/>
      <c r="H3" s="460"/>
      <c r="I3" s="461"/>
    </row>
    <row r="4" spans="1:9" ht="31.5" customHeight="1">
      <c r="A4" s="203" t="s">
        <v>430</v>
      </c>
      <c r="B4" s="478" t="s">
        <v>561</v>
      </c>
      <c r="C4" s="479"/>
      <c r="D4" s="479"/>
      <c r="E4" s="479"/>
      <c r="F4" s="479"/>
      <c r="G4" s="479"/>
      <c r="H4" s="479"/>
      <c r="I4" s="480"/>
    </row>
    <row r="5" spans="1:9" ht="15.75" thickBot="1">
      <c r="A5" s="204" t="s">
        <v>431</v>
      </c>
      <c r="B5" s="465" t="s">
        <v>302</v>
      </c>
      <c r="C5" s="466"/>
      <c r="D5" s="466"/>
      <c r="E5" s="466"/>
      <c r="F5" s="466"/>
      <c r="G5" s="466"/>
      <c r="H5" s="466"/>
      <c r="I5" s="467"/>
    </row>
    <row r="6" spans="1:9" ht="15">
      <c r="A6" s="468" t="s">
        <v>433</v>
      </c>
      <c r="B6" s="435" t="s">
        <v>434</v>
      </c>
      <c r="C6" s="435" t="s">
        <v>435</v>
      </c>
      <c r="D6" s="470"/>
      <c r="E6" s="470"/>
      <c r="F6" s="435" t="s">
        <v>436</v>
      </c>
      <c r="G6" s="435" t="s">
        <v>437</v>
      </c>
      <c r="H6" s="435" t="s">
        <v>438</v>
      </c>
      <c r="I6" s="437" t="s">
        <v>439</v>
      </c>
    </row>
    <row r="7" spans="1:9" ht="30.75" thickBot="1">
      <c r="A7" s="469"/>
      <c r="B7" s="436"/>
      <c r="C7" s="436"/>
      <c r="D7" s="201" t="s">
        <v>440</v>
      </c>
      <c r="E7" s="201" t="s">
        <v>441</v>
      </c>
      <c r="F7" s="436"/>
      <c r="G7" s="436"/>
      <c r="H7" s="436"/>
      <c r="I7" s="438"/>
    </row>
    <row r="8" spans="1:9" ht="15.75" thickBot="1">
      <c r="A8" s="491" t="s">
        <v>492</v>
      </c>
      <c r="B8" s="492"/>
      <c r="C8" s="492"/>
      <c r="D8" s="492"/>
      <c r="E8" s="492"/>
      <c r="F8" s="492"/>
      <c r="G8" s="492"/>
      <c r="H8" s="492"/>
      <c r="I8" s="493"/>
    </row>
    <row r="9" spans="1:9" ht="15">
      <c r="A9" s="188" t="s">
        <v>443</v>
      </c>
      <c r="B9" s="189" t="s">
        <v>444</v>
      </c>
      <c r="C9" s="190" t="s">
        <v>482</v>
      </c>
      <c r="D9" s="191">
        <v>3</v>
      </c>
      <c r="E9" s="191">
        <v>1</v>
      </c>
      <c r="F9" s="192">
        <v>4.67</v>
      </c>
      <c r="G9" s="193"/>
      <c r="H9" s="192">
        <v>10.97</v>
      </c>
      <c r="I9" s="180">
        <f>D9*H9</f>
        <v>32.910000000000004</v>
      </c>
    </row>
    <row r="10" spans="1:9" ht="15">
      <c r="A10" s="194" t="s">
        <v>446</v>
      </c>
      <c r="B10" s="189" t="s">
        <v>444</v>
      </c>
      <c r="C10" s="190" t="s">
        <v>483</v>
      </c>
      <c r="D10" s="191">
        <v>0.5</v>
      </c>
      <c r="E10" s="191"/>
      <c r="F10" s="192">
        <v>5.54</v>
      </c>
      <c r="G10" s="160"/>
      <c r="H10" s="192">
        <v>13.01</v>
      </c>
      <c r="I10" s="180">
        <f>H10*D10</f>
        <v>6.505</v>
      </c>
    </row>
    <row r="11" spans="1:9" ht="30.75" thickBot="1">
      <c r="A11" s="194"/>
      <c r="B11" s="195"/>
      <c r="C11" s="196"/>
      <c r="D11" s="195"/>
      <c r="E11" s="197"/>
      <c r="F11" s="198"/>
      <c r="G11" s="197"/>
      <c r="H11" s="199" t="s">
        <v>439</v>
      </c>
      <c r="I11" s="200">
        <f>SUM(I9:I10)</f>
        <v>39.415000000000006</v>
      </c>
    </row>
    <row r="12" spans="1:9" ht="15.75" thickBot="1">
      <c r="A12" s="439" t="s">
        <v>490</v>
      </c>
      <c r="B12" s="440"/>
      <c r="C12" s="440"/>
      <c r="D12" s="440"/>
      <c r="E12" s="440"/>
      <c r="F12" s="440"/>
      <c r="G12" s="440"/>
      <c r="H12" s="440"/>
      <c r="I12" s="441"/>
    </row>
    <row r="13" spans="1:10" ht="45">
      <c r="A13" s="139" t="s">
        <v>522</v>
      </c>
      <c r="B13" s="211" t="s">
        <v>35</v>
      </c>
      <c r="C13" s="211"/>
      <c r="D13" s="246">
        <v>1</v>
      </c>
      <c r="E13" s="246"/>
      <c r="F13" s="246"/>
      <c r="G13" s="245"/>
      <c r="H13" s="187">
        <f>D48</f>
        <v>250.16750000000002</v>
      </c>
      <c r="I13" s="213">
        <f>D13*H13</f>
        <v>250.16750000000002</v>
      </c>
      <c r="J13" s="247"/>
    </row>
    <row r="14" spans="1:9" ht="15">
      <c r="A14" s="144"/>
      <c r="B14" s="176"/>
      <c r="C14" s="190"/>
      <c r="D14" s="219"/>
      <c r="E14" s="219"/>
      <c r="F14" s="219"/>
      <c r="G14" s="221"/>
      <c r="H14" s="219"/>
      <c r="I14" s="157">
        <f>D14*H14</f>
        <v>0</v>
      </c>
    </row>
    <row r="15" spans="1:9" ht="30.75" thickBot="1">
      <c r="A15" s="181"/>
      <c r="B15" s="182"/>
      <c r="C15" s="183"/>
      <c r="D15" s="220"/>
      <c r="E15" s="220"/>
      <c r="F15" s="220"/>
      <c r="G15" s="220"/>
      <c r="H15" s="222" t="s">
        <v>439</v>
      </c>
      <c r="I15" s="223">
        <f>SUM(I13:I14)</f>
        <v>250.16750000000002</v>
      </c>
    </row>
    <row r="16" spans="1:9" ht="15.75" thickBot="1">
      <c r="A16" s="481" t="s">
        <v>478</v>
      </c>
      <c r="B16" s="482"/>
      <c r="C16" s="482"/>
      <c r="D16" s="482"/>
      <c r="E16" s="482"/>
      <c r="F16" s="482"/>
      <c r="G16" s="482"/>
      <c r="H16" s="482"/>
      <c r="I16" s="483"/>
    </row>
    <row r="17" spans="1:9" ht="15">
      <c r="A17" s="139" t="s">
        <v>485</v>
      </c>
      <c r="B17" s="162" t="s">
        <v>35</v>
      </c>
      <c r="C17" s="224" t="s">
        <v>488</v>
      </c>
      <c r="D17" s="187">
        <v>0.5</v>
      </c>
      <c r="E17" s="187"/>
      <c r="F17" s="187">
        <v>26.67</v>
      </c>
      <c r="G17" s="225"/>
      <c r="H17" s="187">
        <f>F17</f>
        <v>26.67</v>
      </c>
      <c r="I17" s="166">
        <f>H17*D17</f>
        <v>13.335</v>
      </c>
    </row>
    <row r="18" spans="1:9" ht="15">
      <c r="A18" s="144"/>
      <c r="B18" s="167"/>
      <c r="C18" s="190"/>
      <c r="D18" s="234"/>
      <c r="E18" s="234"/>
      <c r="F18" s="234"/>
      <c r="G18" s="235"/>
      <c r="H18" s="234"/>
      <c r="I18" s="171"/>
    </row>
    <row r="19" spans="1:9" ht="30.75" thickBot="1">
      <c r="A19" s="207"/>
      <c r="B19" s="208"/>
      <c r="C19" s="208"/>
      <c r="D19" s="226"/>
      <c r="E19" s="226"/>
      <c r="F19" s="226"/>
      <c r="G19" s="226"/>
      <c r="H19" s="222" t="s">
        <v>439</v>
      </c>
      <c r="I19" s="209">
        <f>SUM(I17:I18)</f>
        <v>13.335</v>
      </c>
    </row>
    <row r="20" spans="1:9" ht="15.75" thickBot="1">
      <c r="A20" s="481" t="s">
        <v>479</v>
      </c>
      <c r="B20" s="482"/>
      <c r="C20" s="482"/>
      <c r="D20" s="482"/>
      <c r="E20" s="482"/>
      <c r="F20" s="482"/>
      <c r="G20" s="482"/>
      <c r="H20" s="482"/>
      <c r="I20" s="483"/>
    </row>
    <row r="21" spans="1:9" ht="15">
      <c r="A21" s="210"/>
      <c r="B21" s="211"/>
      <c r="C21" s="224"/>
      <c r="D21" s="212"/>
      <c r="E21" s="212"/>
      <c r="F21" s="212"/>
      <c r="G21" s="212"/>
      <c r="H21" s="212"/>
      <c r="I21" s="213">
        <f>D21*F21</f>
        <v>0</v>
      </c>
    </row>
    <row r="22" spans="1:9" ht="15">
      <c r="A22" s="214"/>
      <c r="B22" s="189"/>
      <c r="C22" s="190"/>
      <c r="D22" s="215"/>
      <c r="E22" s="215"/>
      <c r="F22" s="215"/>
      <c r="G22" s="215"/>
      <c r="H22" s="215"/>
      <c r="I22" s="157">
        <f>D22*F22</f>
        <v>0</v>
      </c>
    </row>
    <row r="23" spans="1:9" ht="30.75" thickBot="1">
      <c r="A23" s="207"/>
      <c r="B23" s="208"/>
      <c r="C23" s="208"/>
      <c r="D23" s="227"/>
      <c r="E23" s="227"/>
      <c r="F23" s="227"/>
      <c r="G23" s="227"/>
      <c r="H23" s="228" t="s">
        <v>439</v>
      </c>
      <c r="I23" s="216">
        <f>I21+I22</f>
        <v>0</v>
      </c>
    </row>
    <row r="24" spans="1:9" ht="15.75" thickBot="1">
      <c r="A24" s="217"/>
      <c r="B24" s="217"/>
      <c r="C24" s="217"/>
      <c r="D24" s="217"/>
      <c r="E24" s="217"/>
      <c r="F24" s="217"/>
      <c r="G24" s="217"/>
      <c r="H24" s="217"/>
      <c r="I24" s="217"/>
    </row>
    <row r="25" spans="1:9" ht="15">
      <c r="A25" s="145" t="s">
        <v>461</v>
      </c>
      <c r="B25" s="146"/>
      <c r="C25" s="147"/>
      <c r="D25" s="217"/>
      <c r="E25" s="217"/>
      <c r="F25" s="217"/>
      <c r="G25" s="217"/>
      <c r="H25" s="217"/>
      <c r="I25" s="217"/>
    </row>
    <row r="26" spans="1:9" ht="30">
      <c r="A26" s="148" t="s">
        <v>462</v>
      </c>
      <c r="B26" s="149" t="s">
        <v>463</v>
      </c>
      <c r="C26" s="150" t="s">
        <v>464</v>
      </c>
      <c r="D26" s="217"/>
      <c r="E26" s="217"/>
      <c r="F26" s="217"/>
      <c r="G26" s="217"/>
      <c r="H26" s="217"/>
      <c r="I26" s="217"/>
    </row>
    <row r="27" spans="1:9" ht="15">
      <c r="A27" s="148" t="s">
        <v>465</v>
      </c>
      <c r="B27" s="160">
        <v>134.67</v>
      </c>
      <c r="C27" s="180">
        <f>I11</f>
        <v>39.415000000000006</v>
      </c>
      <c r="D27" s="217"/>
      <c r="E27" s="217"/>
      <c r="F27" s="217"/>
      <c r="G27" s="217"/>
      <c r="H27" s="217"/>
      <c r="I27" s="217"/>
    </row>
    <row r="28" spans="1:9" ht="15">
      <c r="A28" s="148" t="s">
        <v>466</v>
      </c>
      <c r="B28" s="160"/>
      <c r="C28" s="180">
        <f>I15</f>
        <v>250.16750000000002</v>
      </c>
      <c r="D28" s="217"/>
      <c r="E28" s="217"/>
      <c r="F28" s="217"/>
      <c r="G28" s="217"/>
      <c r="H28" s="217"/>
      <c r="I28" s="217"/>
    </row>
    <row r="29" spans="1:9" ht="15">
      <c r="A29" s="148" t="s">
        <v>467</v>
      </c>
      <c r="B29" s="160"/>
      <c r="C29" s="180">
        <f>I23</f>
        <v>0</v>
      </c>
      <c r="D29" s="217"/>
      <c r="E29" s="217"/>
      <c r="F29" s="217"/>
      <c r="G29" s="217"/>
      <c r="H29" s="217"/>
      <c r="I29" s="217"/>
    </row>
    <row r="30" spans="1:9" ht="15">
      <c r="A30" s="148" t="s">
        <v>468</v>
      </c>
      <c r="B30" s="160"/>
      <c r="C30" s="232">
        <f>I19</f>
        <v>13.335</v>
      </c>
      <c r="D30" s="217"/>
      <c r="E30" s="217"/>
      <c r="F30" s="217"/>
      <c r="G30" s="217"/>
      <c r="H30" s="217"/>
      <c r="I30" s="217"/>
    </row>
    <row r="31" spans="1:9" ht="15">
      <c r="A31" s="148" t="s">
        <v>469</v>
      </c>
      <c r="B31" s="160"/>
      <c r="C31" s="180">
        <v>1</v>
      </c>
      <c r="D31" s="217"/>
      <c r="E31" s="217"/>
      <c r="F31" s="217"/>
      <c r="G31" s="217"/>
      <c r="H31" s="217"/>
      <c r="I31" s="217"/>
    </row>
    <row r="32" spans="1:9" ht="15">
      <c r="A32" s="148" t="s">
        <v>470</v>
      </c>
      <c r="B32" s="160"/>
      <c r="C32" s="180">
        <f>C27+C30</f>
        <v>52.75000000000001</v>
      </c>
      <c r="D32" s="217"/>
      <c r="E32" s="217"/>
      <c r="F32" s="217"/>
      <c r="G32" s="217"/>
      <c r="H32" s="217"/>
      <c r="I32" s="217"/>
    </row>
    <row r="33" spans="1:9" ht="15">
      <c r="A33" s="152" t="s">
        <v>471</v>
      </c>
      <c r="B33" s="160"/>
      <c r="C33" s="180">
        <f>C27+(C30/C31)</f>
        <v>52.75000000000001</v>
      </c>
      <c r="D33" s="217"/>
      <c r="E33" s="217"/>
      <c r="F33" s="217"/>
      <c r="G33" s="217"/>
      <c r="H33" s="217"/>
      <c r="I33" s="217"/>
    </row>
    <row r="34" spans="1:9" ht="15">
      <c r="A34" s="148" t="s">
        <v>472</v>
      </c>
      <c r="B34" s="160"/>
      <c r="C34" s="180">
        <f>C27+C28+C29+C30</f>
        <v>302.9175</v>
      </c>
      <c r="D34" s="217"/>
      <c r="E34" s="217"/>
      <c r="F34" s="217"/>
      <c r="G34" s="217"/>
      <c r="H34" s="217"/>
      <c r="I34" s="217"/>
    </row>
    <row r="35" spans="1:9" ht="15">
      <c r="A35" s="153" t="s">
        <v>473</v>
      </c>
      <c r="B35" s="161">
        <v>30.9</v>
      </c>
      <c r="C35" s="233">
        <f>C34*0.309</f>
        <v>93.60150750000001</v>
      </c>
      <c r="D35" s="217"/>
      <c r="E35" s="217"/>
      <c r="F35" s="217"/>
      <c r="G35" s="217"/>
      <c r="H35" s="217"/>
      <c r="I35" s="217"/>
    </row>
    <row r="36" spans="1:9" ht="15">
      <c r="A36" s="148" t="s">
        <v>474</v>
      </c>
      <c r="B36" s="160"/>
      <c r="C36" s="233">
        <f>C34*1.309</f>
        <v>396.5190075</v>
      </c>
      <c r="D36" s="217"/>
      <c r="E36" s="217"/>
      <c r="F36" s="217"/>
      <c r="G36" s="217"/>
      <c r="H36" s="217"/>
      <c r="I36" s="217"/>
    </row>
    <row r="37" spans="1:9" ht="15.75" thickBot="1">
      <c r="A37" s="154" t="s">
        <v>475</v>
      </c>
      <c r="B37" s="155"/>
      <c r="C37" s="229">
        <f>C36</f>
        <v>396.5190075</v>
      </c>
      <c r="D37" s="217"/>
      <c r="E37" s="217"/>
      <c r="F37" s="217"/>
      <c r="G37" s="217"/>
      <c r="H37" s="217"/>
      <c r="I37" s="217"/>
    </row>
    <row r="38" spans="1:9" ht="15.75" thickBot="1">
      <c r="A38" s="484"/>
      <c r="B38" s="484"/>
      <c r="C38" s="484"/>
      <c r="D38" s="484"/>
      <c r="E38" s="484"/>
      <c r="F38" s="484"/>
      <c r="G38" s="484"/>
      <c r="H38" s="484"/>
      <c r="I38" s="484"/>
    </row>
    <row r="39" spans="1:9" ht="15">
      <c r="A39" s="485" t="s">
        <v>476</v>
      </c>
      <c r="B39" s="486"/>
      <c r="C39" s="486"/>
      <c r="D39" s="486"/>
      <c r="E39" s="486"/>
      <c r="F39" s="486"/>
      <c r="G39" s="486"/>
      <c r="H39" s="486"/>
      <c r="I39" s="487"/>
    </row>
    <row r="40" spans="1:9" ht="33" customHeight="1" thickBot="1">
      <c r="A40" s="488" t="s">
        <v>818</v>
      </c>
      <c r="B40" s="489"/>
      <c r="C40" s="489"/>
      <c r="D40" s="489"/>
      <c r="E40" s="489"/>
      <c r="F40" s="489"/>
      <c r="G40" s="489"/>
      <c r="H40" s="489"/>
      <c r="I40" s="490"/>
    </row>
    <row r="42" spans="1:7" ht="12.75">
      <c r="A42" s="446" t="s">
        <v>553</v>
      </c>
      <c r="B42" s="446"/>
      <c r="C42" s="446"/>
      <c r="D42" s="446"/>
      <c r="E42" s="446"/>
      <c r="F42" s="446"/>
      <c r="G42" s="446"/>
    </row>
    <row r="43" spans="2:5" ht="12.75">
      <c r="B43" s="447" t="s">
        <v>554</v>
      </c>
      <c r="C43" s="447"/>
      <c r="D43" s="447"/>
      <c r="E43" s="447"/>
    </row>
    <row r="44" spans="2:5" ht="12.75">
      <c r="B44" s="447" t="s">
        <v>555</v>
      </c>
      <c r="C44" s="447"/>
      <c r="D44" s="447" t="s">
        <v>556</v>
      </c>
      <c r="E44" s="447"/>
    </row>
    <row r="45" spans="2:5" ht="12.75">
      <c r="B45" s="473" t="s">
        <v>562</v>
      </c>
      <c r="C45" s="473"/>
      <c r="D45" s="474">
        <f>209.95*1.1</f>
        <v>230.945</v>
      </c>
      <c r="E45" s="474"/>
    </row>
    <row r="46" spans="2:5" ht="12.75">
      <c r="B46" s="473" t="s">
        <v>565</v>
      </c>
      <c r="C46" s="473"/>
      <c r="D46" s="474">
        <f>244.9*1.1</f>
        <v>269.39000000000004</v>
      </c>
      <c r="E46" s="474"/>
    </row>
    <row r="47" spans="2:5" ht="12.75">
      <c r="B47" s="473"/>
      <c r="C47" s="473"/>
      <c r="D47" s="474"/>
      <c r="E47" s="474"/>
    </row>
    <row r="48" spans="2:5" ht="12.75">
      <c r="B48" s="471" t="s">
        <v>557</v>
      </c>
      <c r="C48" s="471"/>
      <c r="D48" s="472">
        <f>(D45+D46+D47)/2</f>
        <v>250.16750000000002</v>
      </c>
      <c r="E48" s="472"/>
    </row>
  </sheetData>
  <sheetProtection/>
  <mergeCells count="32">
    <mergeCell ref="B46:C46"/>
    <mergeCell ref="D46:E46"/>
    <mergeCell ref="B47:C47"/>
    <mergeCell ref="D47:E47"/>
    <mergeCell ref="B48:C48"/>
    <mergeCell ref="D48:E48"/>
    <mergeCell ref="A42:G42"/>
    <mergeCell ref="B43:E43"/>
    <mergeCell ref="B44:C44"/>
    <mergeCell ref="D44:E44"/>
    <mergeCell ref="B45:C45"/>
    <mergeCell ref="D45:E45"/>
    <mergeCell ref="A1:I1"/>
    <mergeCell ref="B2:I2"/>
    <mergeCell ref="B3:I3"/>
    <mergeCell ref="B4:I4"/>
    <mergeCell ref="B5:I5"/>
    <mergeCell ref="A6:A7"/>
    <mergeCell ref="B6:B7"/>
    <mergeCell ref="C6:C7"/>
    <mergeCell ref="D6:E6"/>
    <mergeCell ref="F6:F7"/>
    <mergeCell ref="A20:I20"/>
    <mergeCell ref="A38:I38"/>
    <mergeCell ref="A39:I39"/>
    <mergeCell ref="A40:I40"/>
    <mergeCell ref="G6:G7"/>
    <mergeCell ref="H6:H7"/>
    <mergeCell ref="I6:I7"/>
    <mergeCell ref="A8:I8"/>
    <mergeCell ref="A12:I12"/>
    <mergeCell ref="A16:I16"/>
  </mergeCells>
  <printOptions/>
  <pageMargins left="0.511811024" right="0.511811024" top="0.787401575" bottom="0.787401575" header="0.31496062" footer="0.31496062"/>
  <pageSetup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Carlos Domingos Cunha</cp:lastModifiedBy>
  <cp:lastPrinted>2016-11-08T18:27:49Z</cp:lastPrinted>
  <dcterms:created xsi:type="dcterms:W3CDTF">1996-10-29T12:43:50Z</dcterms:created>
  <dcterms:modified xsi:type="dcterms:W3CDTF">2016-12-01T10:51:58Z</dcterms:modified>
  <cp:category/>
  <cp:version/>
  <cp:contentType/>
  <cp:contentStatus/>
</cp:coreProperties>
</file>